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http://bikube/Oppdrag/605893/02/Dokumenter/v3 2021/Utvikling nytt verktøy/utvikling preanalyse/"/>
    </mc:Choice>
  </mc:AlternateContent>
  <xr:revisionPtr revIDLastSave="0" documentId="13_ncr:1_{0806DCC3-21AE-4F85-9818-1F4976E202E6}" xr6:coauthVersionLast="47" xr6:coauthVersionMax="47" xr10:uidLastSave="{00000000-0000-0000-0000-000000000000}"/>
  <workbookProtection workbookAlgorithmName="SHA-512" workbookHashValue="ui1ji8iH1c8YUbBDpZJfD3zF/EasIvrQyGVRWebPr5fQ0ce+xC/BA8GRQYjG376VaQgodsjWPlCJisaSpA3k8A==" workbookSaltValue="V3BbKqWZSaNmdTAfd7hqLw==" workbookSpinCount="100000" lockStructure="1"/>
  <bookViews>
    <workbookView xWindow="-41388" yWindow="-2844" windowWidth="41496" windowHeight="16896" tabRatio="651" xr2:uid="{00000000-000D-0000-FFFF-FFFF00000000}"/>
  </bookViews>
  <sheets>
    <sheet name="Instructions" sheetId="12" r:id="rId1"/>
    <sheet name="Assessment Details" sheetId="3" r:id="rId2"/>
    <sheet name="Pre-Assessment Estimator" sheetId="5" r:id="rId3"/>
    <sheet name="Credit list" sheetId="22" state="hidden" r:id="rId4"/>
    <sheet name="Manuell filtrering og justering" sheetId="16" state="hidden" r:id="rId5"/>
    <sheet name="Poeng" sheetId="13" state="hidden" r:id="rId6"/>
    <sheet name="Summary of Building Performance" sheetId="11" r:id="rId7"/>
    <sheet name="PAE available for copy" sheetId="21" r:id="rId8"/>
    <sheet name="Version Control" sheetId="8" r:id="rId9"/>
    <sheet name="Sheet1" sheetId="17" r:id="rId10"/>
    <sheet name="Sheet2" sheetId="18" r:id="rId11"/>
    <sheet name="Sheet3" sheetId="19" r:id="rId12"/>
  </sheets>
  <definedNames>
    <definedName name="_xlnm._FilterDatabase" localSheetId="7" hidden="1">'PAE available for copy'!$A$9:$AF$225</definedName>
    <definedName name="_xlnm._FilterDatabase" localSheetId="5" hidden="1">Poeng!$A$8:$CL$277</definedName>
    <definedName name="_xlnm._FilterDatabase" localSheetId="2" hidden="1">'Pre-Assessment Estimator'!$A$9:$AF$226</definedName>
    <definedName name="_PSc1">'Assessment Details'!$P$70</definedName>
    <definedName name="_PSc2">'Assessment Details'!#REF!</definedName>
    <definedName name="Achieved_const">'Summary of Building Performance'!$H$46</definedName>
    <definedName name="Achieved_design">'Summary of Building Performance'!$F$46</definedName>
    <definedName name="Achieved_initial">'Summary of Building Performance'!$D$46</definedName>
    <definedName name="AD_Add01">'Assessment Details'!$C$14</definedName>
    <definedName name="AD_Add02">'Assessment Details'!$C$15</definedName>
    <definedName name="AD_Add04">'Assessment Details'!$C$17</definedName>
    <definedName name="AD_Architect">'Assessment Details'!$C$25</definedName>
    <definedName name="AD_assessor">'Assessment Details'!$C$8</definedName>
    <definedName name="AD_Assessor_org">'Assessment Details'!$C$9</definedName>
    <definedName name="AD_Banner">'Assessment Details'!$B$2</definedName>
    <definedName name="AD_BREEAM_stage">'Assessment Details'!$Q$5</definedName>
    <definedName name="AD_BREEAM_version">'Assessment Details'!$Q$8</definedName>
    <definedName name="AD_BREEAMAP">'Assessment Details'!$C$28</definedName>
    <definedName name="AD_Buildserve">'Assessment Details'!$C$27</definedName>
    <definedName name="AD_Builduser">'Assessment Details'!$C$7</definedName>
    <definedName name="AD_catlevel">'Assessment Details'!#REF!</definedName>
    <definedName name="AD_catlevel01">'Assessment Details'!$Q$31</definedName>
    <definedName name="AD_catlevel02">'Assessment Details'!$Q$32</definedName>
    <definedName name="AD_catlevel03">'Assessment Details'!$Q$33</definedName>
    <definedName name="AD_client">'Assessment Details'!$C$6</definedName>
    <definedName name="AD_Contractor">'Assessment Details'!$C$24</definedName>
    <definedName name="AD_Developer">'Assessment Details'!$C$23</definedName>
    <definedName name="AD_Energyload">'Assessment Details'!$F$22</definedName>
    <definedName name="AD_GIA">'Assessment Details'!$F$12</definedName>
    <definedName name="AD_heat">'Assessment Details'!$F$15</definedName>
    <definedName name="AD_labcat_list">'Assessment Details'!$Q$31:$Q$34</definedName>
    <definedName name="AD_Labsize">'Assessment Details'!$F$21</definedName>
    <definedName name="AD_Labsize_list">'Assessment Details'!$Q$26:$Q$29</definedName>
    <definedName name="AD_Labsize01">'Assessment Details'!$Q$27</definedName>
    <definedName name="AD_Labsize02">'Assessment Details'!$Q$28</definedName>
    <definedName name="AD_Labsize03">'Assessment Details'!$Q$29</definedName>
    <definedName name="AD_labsize04">'Assessment Details'!$Q$26</definedName>
    <definedName name="AD_MultiRes_option01a">'Assessment Details'!$P$92</definedName>
    <definedName name="AD_MultiRes_option01b">'Assessment Details'!$P$93</definedName>
    <definedName name="AD_Multitenant">'Assessment Details'!$Q$42</definedName>
    <definedName name="AD_NIFA">'Assessment Details'!$F$13</definedName>
    <definedName name="AD_no">'Assessment Details'!$Q$23</definedName>
    <definedName name="AD_nolab" localSheetId="7">'Assessment Details'!#REF!</definedName>
    <definedName name="AD_nolab">'Assessment Details'!#REF!</definedName>
    <definedName name="AD_option_na">'Assessment Details'!$Q$24</definedName>
    <definedName name="AD_Other01">'Assessment Details'!$C$29</definedName>
    <definedName name="AD_Other02">'Assessment Details'!$C$30</definedName>
    <definedName name="AD_other03">'Assessment Details'!$C$31</definedName>
    <definedName name="AD_Other04">'Assessment Details'!$C$32</definedName>
    <definedName name="AD_Ozoneleg">'Assessment Details'!$P$69</definedName>
    <definedName name="AD_p_zone0">'Assessment Details'!$T$87</definedName>
    <definedName name="AD_p_zone1">'Assessment Details'!$T$88</definedName>
    <definedName name="AD_P_zone2">'Assessment Details'!$T$89</definedName>
    <definedName name="AD_P_Zone3">'Assessment Details'!$T$90</definedName>
    <definedName name="AD_Projman">'Assessment Details'!$C$26</definedName>
    <definedName name="AD_ref">'Assessment Details'!$C$5</definedName>
    <definedName name="AD_refrig">'Assessment Details'!$F$19</definedName>
    <definedName name="AD_stage_list">'Assessment Details'!$Q$18:$Q$19</definedName>
    <definedName name="AD_statement03" localSheetId="7">'Assessment Details'!#REF!</definedName>
    <definedName name="AD_statement03">'Assessment Details'!#REF!</definedName>
    <definedName name="AD_Statement04">'Assessment Details'!$Q$44</definedName>
    <definedName name="AD_statement05">'Assessment Details'!$Q$45</definedName>
    <definedName name="AD_statement06">'Assessment Details'!$Q$46</definedName>
    <definedName name="AD_tra01type">'Assessment Details'!$P$64</definedName>
    <definedName name="AD_Trans">'Assessment Details'!$F$20</definedName>
    <definedName name="AD_type_list">'Assessment Details'!$L$5:$L$8</definedName>
    <definedName name="AD_version">'Assessment Details'!$R$82</definedName>
    <definedName name="AD_Yes">'Assessment Details'!$Q$22</definedName>
    <definedName name="AD_YesNo">'Assessment Details'!$Q$22:$Q$23</definedName>
    <definedName name="AD_YesNo_list">'Assessment Details'!$Q$22:$Q$24</definedName>
    <definedName name="ADAS0">'Assessment Details'!$R$80</definedName>
    <definedName name="ADAS01">'Assessment Details'!$Q$18</definedName>
    <definedName name="ADAS02">'Assessment Details'!$Q$19</definedName>
    <definedName name="ADBN">'Assessment Details'!$C$13</definedName>
    <definedName name="ADBT_sub02">'Assessment Details'!$O$5</definedName>
    <definedName name="ADBT_sub03">'Assessment Details'!$O$6</definedName>
    <definedName name="ADBT_sub04">'Assessment Details'!$O$7</definedName>
    <definedName name="ADBT_sub05">'Assessment Details'!$O$8</definedName>
    <definedName name="ADBT_sub06">'Assessment Details'!$O$9</definedName>
    <definedName name="ADBT_sub07">'Assessment Details'!$O$10</definedName>
    <definedName name="ADBT_sub08">'Assessment Details'!$O$11</definedName>
    <definedName name="ADBT_sub09">'Assessment Details'!$O$12</definedName>
    <definedName name="ADBT_sub10">'Assessment Details'!$O$13</definedName>
    <definedName name="ADBT_sub11">'Assessment Details'!$O$14</definedName>
    <definedName name="ADBT_sub12">'Assessment Details'!$O$15</definedName>
    <definedName name="ADBT_sub13">'Assessment Details'!$O$16</definedName>
    <definedName name="ADBT_sub14">'Assessment Details'!$O$17</definedName>
    <definedName name="ADBT_sub15">'Assessment Details'!$O$18</definedName>
    <definedName name="ADBT_sub16">'Assessment Details'!$O$19</definedName>
    <definedName name="ADBT_sub17">'Assessment Details'!$O$20</definedName>
    <definedName name="ADBT0">'Assessment Details'!$F$5</definedName>
    <definedName name="ADBT1">'Assessment Details'!$L$5</definedName>
    <definedName name="ADBT12">'Assessment Details'!$L$9</definedName>
    <definedName name="ADBT13">'Assessment Details'!$L$10</definedName>
    <definedName name="ADBT14">'Assessment Details'!$L$11</definedName>
    <definedName name="ADBT15">'Assessment Details'!$L$12</definedName>
    <definedName name="ADBT16">'Assessment Details'!$L$13</definedName>
    <definedName name="ADBT17">'Assessment Details'!$L$14</definedName>
    <definedName name="ADBT18">'Assessment Details'!$L$15</definedName>
    <definedName name="ADBT19">'Assessment Details'!$L$16</definedName>
    <definedName name="ADBT2">'Assessment Details'!$L$6</definedName>
    <definedName name="ADBT20">'Assessment Details'!$L$17</definedName>
    <definedName name="ADBT3">'Assessment Details'!$L$7</definedName>
    <definedName name="ADBT8">'Assessment Details'!$L$8</definedName>
    <definedName name="ADBT9">'Assessment Details'!$L$5</definedName>
    <definedName name="ADFume_option01">'Assessment Details'!$P$43</definedName>
    <definedName name="ADIND_option02">'Assessment Details'!$F$16</definedName>
    <definedName name="ADIND_option03">'Assessment Details'!$F$17</definedName>
    <definedName name="ADPT">'Assessment Details'!$F$7</definedName>
    <definedName name="ADPT01">'Assessment Details'!$Q$11</definedName>
    <definedName name="ADPT02">'Assessment Details'!$Q$13</definedName>
    <definedName name="ADPT03">'Assessment Details'!$Q$14</definedName>
    <definedName name="ADPT04">'Assessment Details'!$Q$15</definedName>
    <definedName name="ais_ja">Poeng!$G$4</definedName>
    <definedName name="AIS_NA">Poeng!$G$6</definedName>
    <definedName name="ais_nei">Poeng!$G$5</definedName>
    <definedName name="AIS_statement09" localSheetId="7">'Assessment Details'!#REF!</definedName>
    <definedName name="AIS_statement09">'Assessment Details'!#REF!</definedName>
    <definedName name="AIS_statement29">'Assessment Details'!$B$37</definedName>
    <definedName name="BP_01">'Summary of Building Performance'!$C$36</definedName>
    <definedName name="BP_02">'Summary of Building Performance'!$C$37</definedName>
    <definedName name="BP_03">'Summary of Building Performance'!$C$38</definedName>
    <definedName name="BP_04">'Summary of Building Performance'!$C$39</definedName>
    <definedName name="BP_05">'Summary of Building Performance'!$C$40</definedName>
    <definedName name="BP_06">'Summary of Building Performance'!$C$41</definedName>
    <definedName name="BP_07">'Summary of Building Performance'!$C$42</definedName>
    <definedName name="BP_08">'Summary of Building Performance'!$C$43</definedName>
    <definedName name="BP_09">'Summary of Building Performance'!$C$44</definedName>
    <definedName name="BP_10">'Summary of Building Performance'!$C$45</definedName>
    <definedName name="BP_11">'Summary of Building Performance'!$D$36</definedName>
    <definedName name="BP_12">'Summary of Building Performance'!$D$37</definedName>
    <definedName name="BP_13">'Summary of Building Performance'!$D$38</definedName>
    <definedName name="BP_14">'Summary of Building Performance'!$D$39</definedName>
    <definedName name="BP_15">'Summary of Building Performance'!$D$40</definedName>
    <definedName name="BP_16">'Summary of Building Performance'!$D$41</definedName>
    <definedName name="BP_18">'Summary of Building Performance'!$D$42</definedName>
    <definedName name="BP_19">'Summary of Building Performance'!$D$43</definedName>
    <definedName name="BP_20">'Summary of Building Performance'!$D$44</definedName>
    <definedName name="BP_21">'Summary of Building Performance'!$D$45</definedName>
    <definedName name="BP_22">'Summary of Building Performance'!$E$36</definedName>
    <definedName name="BP_23">'Summary of Building Performance'!$E$37</definedName>
    <definedName name="BP_24">'Summary of Building Performance'!$E$38</definedName>
    <definedName name="BP_25">'Summary of Building Performance'!$E$39</definedName>
    <definedName name="BP_26">'Summary of Building Performance'!$E$40</definedName>
    <definedName name="BP_27">'Summary of Building Performance'!$E$41</definedName>
    <definedName name="BP_28">'Summary of Building Performance'!$E$42</definedName>
    <definedName name="BP_29">'Summary of Building Performance'!$E$43</definedName>
    <definedName name="BP_30">'Summary of Building Performance'!$E$44</definedName>
    <definedName name="BP_31">'Summary of Building Performance'!$E$45</definedName>
    <definedName name="BP_BREEAMRating">Poeng!$BE$263</definedName>
    <definedName name="BP_Energy_score">'Summary of Building Performance'!$K$38</definedName>
    <definedName name="BP_Innovation_score">'Summary of Building Performance'!$K$45</definedName>
    <definedName name="BP_LUE_score">'Summary of Building Performance'!$K$43</definedName>
    <definedName name="BP_Man_score">'Summary of Building Performance'!$K$36</definedName>
    <definedName name="BP_Materials_score">'Summary of Building Performance'!$K$41</definedName>
    <definedName name="BP_MinStandards">Poeng!$BE$258</definedName>
    <definedName name="BP_MinStandards_const">Poeng!$BK$258</definedName>
    <definedName name="BP_MinStandards_design">Poeng!$BH$258</definedName>
    <definedName name="BP_Trans_score">'Summary of Building Performance'!$K$39</definedName>
    <definedName name="BP_Waste_Score">'Summary of Building Performance'!$K$42</definedName>
    <definedName name="BP_Water_score">'Summary of Building Performance'!$K$40</definedName>
    <definedName name="BRK_Banner" localSheetId="7">'PAE available for copy'!$E$1</definedName>
    <definedName name="BRK_Banner">'Pre-Assessment Estimator'!$E$1</definedName>
    <definedName name="Ene_01">Poeng!$E$69</definedName>
    <definedName name="Ene_02">Poeng!$E$75</definedName>
    <definedName name="Ene_03">Poeng!$E$79</definedName>
    <definedName name="Ene_04">Poeng!$E$82</definedName>
    <definedName name="Ene_05">Poeng!$E$83</definedName>
    <definedName name="Ene_06">Poeng!$E$86</definedName>
    <definedName name="Ene_07">Poeng!$E$90</definedName>
    <definedName name="Ene_08">Poeng!$E$93</definedName>
    <definedName name="Ene_09">Poeng!$E$95</definedName>
    <definedName name="Ene_23">Poeng!$E$96</definedName>
    <definedName name="Ene_c_user">Poeng!$AK$97</definedName>
    <definedName name="Ene_cont_tot">Poeng!$AE$97</definedName>
    <definedName name="Ene_Credits">Poeng!$AB$97</definedName>
    <definedName name="Ene_d_user">Poeng!$AJ$97</definedName>
    <definedName name="Ene_tot_user">Poeng!$AI$97</definedName>
    <definedName name="Ene_Weight">'Summary of Building Performance'!$J$38</definedName>
    <definedName name="Ene01_27">Poeng!$BT$310</definedName>
    <definedName name="Ene01_28">Poeng!$BE$69</definedName>
    <definedName name="Ene01_41">Poeng!$AD$69</definedName>
    <definedName name="Ene01_42">Poeng!$AE$69</definedName>
    <definedName name="Ene01_credits">Poeng!$AB$69</definedName>
    <definedName name="Ene01_Crit1">Poeng!$E$239</definedName>
    <definedName name="Ene01_Crit1_credits">Poeng!$AB$239</definedName>
    <definedName name="Ene01_minstd">Poeng!$BE$239</definedName>
    <definedName name="Ene01_tot">Poeng!$BS$310</definedName>
    <definedName name="Ene01_user">Poeng!$AI$69</definedName>
    <definedName name="Ene02_10">Poeng!$AD$75</definedName>
    <definedName name="Ene02_11">Poeng!$BT$311</definedName>
    <definedName name="Ene02_12">Poeng!$BE$75</definedName>
    <definedName name="Ene02_13">Poeng!$AE$75</definedName>
    <definedName name="Ene02_credits">Poeng!$AB$75</definedName>
    <definedName name="Ene02_tot">Poeng!$BS$311</definedName>
    <definedName name="Ene02_user">Poeng!$AI$75</definedName>
    <definedName name="Ene03_05">Poeng!$AD$79</definedName>
    <definedName name="Ene03_06">Poeng!$AE$79</definedName>
    <definedName name="Ene03_credits">Poeng!$AB$79</definedName>
    <definedName name="Ene03_minstd">Poeng!$BE$79</definedName>
    <definedName name="Ene03_tot" localSheetId="7">Poeng!#REF!</definedName>
    <definedName name="Ene03_tot">Poeng!#REF!</definedName>
    <definedName name="Ene03_user">Poeng!$AI$79</definedName>
    <definedName name="Ene04_15">Poeng!$BS$315</definedName>
    <definedName name="Ene04_16">Poeng!$BE$82</definedName>
    <definedName name="Ene04_19">Poeng!$AD$82</definedName>
    <definedName name="Ene04_20">Poeng!$AE$82</definedName>
    <definedName name="Ene04_credits">Poeng!$AB$82</definedName>
    <definedName name="Ene04_tot">Poeng!$BR$315</definedName>
    <definedName name="Ene04_user">Poeng!$AI$82</definedName>
    <definedName name="Ene05_14">Poeng!$BS$83</definedName>
    <definedName name="Ene05_15">Poeng!$BE$83</definedName>
    <definedName name="Ene05_20">Poeng!$AD$83</definedName>
    <definedName name="Ene05_21">Poeng!$AE$83</definedName>
    <definedName name="Ene05_credits">Poeng!$AB$83</definedName>
    <definedName name="Ene05_tot">Poeng!$BR$83</definedName>
    <definedName name="Ene05_user">Poeng!$AI$83</definedName>
    <definedName name="Ene06_11">Poeng!$AD$86</definedName>
    <definedName name="Ene06_12">Poeng!$AE$86</definedName>
    <definedName name="Ene06_credits">Poeng!$AB$86</definedName>
    <definedName name="Ene06_minstd">Poeng!$BE$86</definedName>
    <definedName name="Ene06_tot">Poeng!$BR$86</definedName>
    <definedName name="Ene06_user">Poeng!$AI$86</definedName>
    <definedName name="Ene07_24">Poeng!$AD$90</definedName>
    <definedName name="Ene07_25">Poeng!$AE$90</definedName>
    <definedName name="Ene07_credits">Poeng!$AB$90</definedName>
    <definedName name="Ene07_minstd">Poeng!$BE$90</definedName>
    <definedName name="Ene07_tot">Poeng!$BR$90</definedName>
    <definedName name="Ene07_user">Poeng!$AI$90</definedName>
    <definedName name="Ene08_27">Poeng!$AD$93</definedName>
    <definedName name="Ene08_29">Poeng!$AE$93</definedName>
    <definedName name="Ene08_credits">Poeng!$AB$93</definedName>
    <definedName name="Ene08_minstd">Poeng!$BE$93</definedName>
    <definedName name="Ene08_tot">Poeng!$BR$93</definedName>
    <definedName name="Ene08_user">Poeng!$AI$93</definedName>
    <definedName name="Ene09_07">Poeng!$AD$95</definedName>
    <definedName name="Ene09_10">Poeng!$AE$95</definedName>
    <definedName name="Ene09_credits">Poeng!$AB$95</definedName>
    <definedName name="Ene09_minstd">Poeng!$BE$95</definedName>
    <definedName name="Ene09_tot">Poeng!$BR$95</definedName>
    <definedName name="Ene09_user">Poeng!$AI$95</definedName>
    <definedName name="Ene23_cont">Poeng!$AE$96</definedName>
    <definedName name="Ene23_credits">Poeng!$AB$96</definedName>
    <definedName name="Ene23_minstd">Poeng!$BE$96</definedName>
    <definedName name="Ene23_user">Poeng!$AI$96</definedName>
    <definedName name="Hea_01">Poeng!$E$39</definedName>
    <definedName name="Hea_02">Poeng!$E$46</definedName>
    <definedName name="Hea_03">Poeng!$E$51</definedName>
    <definedName name="Hea_04">Poeng!$E$55</definedName>
    <definedName name="Hea_05">Poeng!$E$56</definedName>
    <definedName name="Hea_06">Poeng!$E$59</definedName>
    <definedName name="Hea_07">Poeng!$E$62</definedName>
    <definedName name="Hea_08">Poeng!$E$63</definedName>
    <definedName name="Hea_09">Poeng!$E$65</definedName>
    <definedName name="Hea_cont_tot">Poeng!$AE$66</definedName>
    <definedName name="Hea_Credits">Poeng!$AB$66</definedName>
    <definedName name="Hea_Weight">'Summary of Building Performance'!$J$37</definedName>
    <definedName name="Hea01_06" localSheetId="7">Poeng!#REF!</definedName>
    <definedName name="Hea01_06">Poeng!#REF!</definedName>
    <definedName name="Hea01_25" localSheetId="7">Poeng!#REF!</definedName>
    <definedName name="Hea01_25">Poeng!#REF!</definedName>
    <definedName name="Hea01_26">Poeng!$AD$39</definedName>
    <definedName name="Hea01_27">Poeng!$AE$39</definedName>
    <definedName name="Hea01_credits">Poeng!$AB$39</definedName>
    <definedName name="Hea01_minstd">Poeng!$BE$39</definedName>
    <definedName name="Hea01_tot" localSheetId="7">Poeng!#REF!</definedName>
    <definedName name="Hea01_tot">Poeng!#REF!</definedName>
    <definedName name="Hea01_user">Poeng!$AI$39</definedName>
    <definedName name="Hea02_25">Poeng!$AD$46</definedName>
    <definedName name="Hea02_26">Poeng!$AE$46</definedName>
    <definedName name="Hea02_credits">Poeng!$AB$46</definedName>
    <definedName name="Hea02_Crit1">Poeng!$E$236</definedName>
    <definedName name="Hea02_Crit1_cont">Poeng!$AE$236</definedName>
    <definedName name="Hea02_Crit1_credits">Poeng!$AB$236</definedName>
    <definedName name="Hea02_minst_crit">Poeng!$BE$236</definedName>
    <definedName name="Hea02_minstd">Poeng!$BE$46</definedName>
    <definedName name="Hea02_tot">Poeng!$BS$295</definedName>
    <definedName name="Hea02_user">Poeng!$AI$46</definedName>
    <definedName name="Hea03_09">Poeng!$AD$51</definedName>
    <definedName name="Hea03_10">Poeng!$BT$296</definedName>
    <definedName name="Hea03_11">Poeng!$BE$51</definedName>
    <definedName name="Hea03_contr">Poeng!$AE$51</definedName>
    <definedName name="Hea03_credits">Poeng!$AB$51</definedName>
    <definedName name="Hea03_tot">Poeng!$BS$296</definedName>
    <definedName name="Hea03_user">Poeng!$AI$51</definedName>
    <definedName name="Hea04_10">Poeng!$BT$297</definedName>
    <definedName name="Hea04_11">Poeng!$BE$55</definedName>
    <definedName name="Hea04_12">Poeng!$AD$55</definedName>
    <definedName name="Hea04_13">Poeng!$AE$55</definedName>
    <definedName name="Hea04_credits">Poeng!$AB$55</definedName>
    <definedName name="Hea04_tot">Poeng!$BS$297</definedName>
    <definedName name="Hea04_user">Poeng!$AI$55</definedName>
    <definedName name="Hea05_07">Poeng!$AD$56</definedName>
    <definedName name="Hea05_08">Poeng!$AE$56</definedName>
    <definedName name="Hea05_credits">Poeng!$AB$56</definedName>
    <definedName name="Hea05_minstd">Poeng!$BE$56</definedName>
    <definedName name="Hea05_tot">Poeng!$BS$299</definedName>
    <definedName name="Hea05_user">Poeng!$AI$56</definedName>
    <definedName name="Hea06_07">Poeng!$AD$59</definedName>
    <definedName name="Hea06_contr">Poeng!$AE$59</definedName>
    <definedName name="Hea06_credits">Poeng!$AB$59</definedName>
    <definedName name="Hea06_minstd">Poeng!$BE$59</definedName>
    <definedName name="Hea06_tot">Poeng!$BS$300</definedName>
    <definedName name="Hea06_user">Poeng!$AI$59</definedName>
    <definedName name="Hea07_07">Poeng!$AD$62</definedName>
    <definedName name="Hea07_contr">Poeng!$AE$62</definedName>
    <definedName name="Hea07_Credits">Poeng!$AB$62</definedName>
    <definedName name="Hea07_minstd">Poeng!$BE$62</definedName>
    <definedName name="Hea07_Tot">Poeng!$BS$302</definedName>
    <definedName name="Hea07_user">Poeng!$AI$62</definedName>
    <definedName name="Hea08_07">Poeng!$AD$63</definedName>
    <definedName name="Hea08_contr">Poeng!$AE$63</definedName>
    <definedName name="Hea08_Credits">Poeng!$AB$63</definedName>
    <definedName name="Hea08_minstd">Poeng!$BE$63</definedName>
    <definedName name="Hea08_tot">Poeng!$BS$303</definedName>
    <definedName name="Hea08_user">Poeng!$AI$63</definedName>
    <definedName name="Hea09_cont">Poeng!$AE$65</definedName>
    <definedName name="Hea09_Credits">Poeng!$AB$65</definedName>
    <definedName name="Hea09_minstd">Poeng!$BE$65</definedName>
    <definedName name="Hea09_user">Poeng!$AI$65</definedName>
    <definedName name="HUG" localSheetId="7">'PAE available for copy'!$AO$15</definedName>
    <definedName name="HUG">'Pre-Assessment Estimator'!$AT$35</definedName>
    <definedName name="HW_c_user">Poeng!$AK$66</definedName>
    <definedName name="HW_d_user">Poeng!$AJ$66</definedName>
    <definedName name="HW_tot_user">Poeng!$AI$66</definedName>
    <definedName name="Inn_01">Poeng!$E$217</definedName>
    <definedName name="Inn_02">Poeng!$E$218</definedName>
    <definedName name="Inn_03">Poeng!$E$219</definedName>
    <definedName name="Inn_04">Poeng!$E$220</definedName>
    <definedName name="Inn_05">Poeng!$E$221</definedName>
    <definedName name="Inn_06">Poeng!$E$222</definedName>
    <definedName name="Inn_07">Poeng!$E$223</definedName>
    <definedName name="Inn_08">Poeng!$E$224</definedName>
    <definedName name="Inn_09">Poeng!$E$225</definedName>
    <definedName name="Inn_10">Poeng!$E$226</definedName>
    <definedName name="Inn_11">Poeng!$E$227</definedName>
    <definedName name="Inn_12">Poeng!$E$228</definedName>
    <definedName name="Inn_13">Poeng!$E$229</definedName>
    <definedName name="Inn_c_user">Poeng!$AK$231</definedName>
    <definedName name="Inn_cont_tot">Poeng!$AE$231</definedName>
    <definedName name="Inn_Credits">Poeng!$AB$231</definedName>
    <definedName name="Inn_d_user">Poeng!$AJ$231</definedName>
    <definedName name="Inn_tot_user">Poeng!$AI$231</definedName>
    <definedName name="Inn_Weight">'Summary of Building Performance'!$J$45</definedName>
    <definedName name="Inn01_cont">Poeng!$AE$217</definedName>
    <definedName name="Inn01_credits">Poeng!$AB$217</definedName>
    <definedName name="Inn01_minstd">Poeng!$BE$217</definedName>
    <definedName name="Inn01_user">Poeng!$AI$217</definedName>
    <definedName name="Inn02_cont">Poeng!$AE$218</definedName>
    <definedName name="Inn02_credits">Poeng!$AB$218</definedName>
    <definedName name="Inn02_minstd">Poeng!$BE$218</definedName>
    <definedName name="Inn02_user">Poeng!$AI$218</definedName>
    <definedName name="Inn03_cont">Poeng!$AE$219</definedName>
    <definedName name="Inn03_credits">Poeng!$AB$219</definedName>
    <definedName name="Inn03_minstd">Poeng!$BE$219</definedName>
    <definedName name="Inn03_user">Poeng!$AI$219</definedName>
    <definedName name="Inn04_cont">Poeng!$AE$220</definedName>
    <definedName name="Inn04_credits">Poeng!$AB$220</definedName>
    <definedName name="Inn04_minstd">Poeng!$BE$220</definedName>
    <definedName name="Inn04_user">Poeng!$AI$220</definedName>
    <definedName name="Inn05_cont">Poeng!$AE$221</definedName>
    <definedName name="Inn05_credits">Poeng!$AB$221</definedName>
    <definedName name="Inn05_minstd">Poeng!$BE$221</definedName>
    <definedName name="Inn05_user">Poeng!$AI$221</definedName>
    <definedName name="Inn06_cont">Poeng!$AE$222</definedName>
    <definedName name="Inn06_credits">Poeng!$AB$222</definedName>
    <definedName name="Inn06_minstd">Poeng!$BE$222</definedName>
    <definedName name="Inn06_user">Poeng!$AI$222</definedName>
    <definedName name="Inn07_cont">Poeng!$AE$223</definedName>
    <definedName name="Inn07_credits">Poeng!$AB$223</definedName>
    <definedName name="Inn07_minstd">Poeng!$BE$223</definedName>
    <definedName name="Inn07_user">Poeng!$AI$223</definedName>
    <definedName name="Inn08_cont">Poeng!$AE$224</definedName>
    <definedName name="Inn08_credits">Poeng!$AB$224</definedName>
    <definedName name="Inn08_minstd">Poeng!$BE$224</definedName>
    <definedName name="Inn08_user">Poeng!$AI$224</definedName>
    <definedName name="Inn09_cont">Poeng!$AE$225</definedName>
    <definedName name="Inn09_credits">Poeng!$AB$225</definedName>
    <definedName name="Inn09_minstd">Poeng!$BE$225</definedName>
    <definedName name="Inn09_user">Poeng!$AI$225</definedName>
    <definedName name="Inn10_cont">Poeng!$AE$226</definedName>
    <definedName name="Inn10_credits">Poeng!$AB$226</definedName>
    <definedName name="Inn10_minstd">Poeng!$BE$226</definedName>
    <definedName name="Inn10_user">Poeng!$AI$226</definedName>
    <definedName name="Inn11_cont">Poeng!$AE$227</definedName>
    <definedName name="Inn11_credits">Poeng!$AB$227</definedName>
    <definedName name="Inn11_minstd">Poeng!$BE$227</definedName>
    <definedName name="Inn11_user">Poeng!$AI$227</definedName>
    <definedName name="Inn12_cont">Poeng!$AE$228</definedName>
    <definedName name="Inn12_credits">Poeng!$AB$228</definedName>
    <definedName name="Inn12_minstd">Poeng!$BE$228</definedName>
    <definedName name="Inn12_user">Poeng!$AI$228</definedName>
    <definedName name="Inn13_cont">Poeng!$AE$229</definedName>
    <definedName name="Inn13_credits">Poeng!$AB$229</definedName>
    <definedName name="Inn13_minstd">Poeng!$BE$229</definedName>
    <definedName name="Inn13_user">Poeng!$AI$229</definedName>
    <definedName name="janei">'Assessment Details'!$O$51:$O$52</definedName>
    <definedName name="LE_01">Poeng!$E$169</definedName>
    <definedName name="LE_02">Poeng!$E$171</definedName>
    <definedName name="LE_03">Poeng!$E$175</definedName>
    <definedName name="LE_04">Poeng!$E$179</definedName>
    <definedName name="LE_05">Poeng!$E$183</definedName>
    <definedName name="LE_06">Poeng!$E$187</definedName>
    <definedName name="LE_07">Poeng!$E$189</definedName>
    <definedName name="LE_08">Poeng!$E$192</definedName>
    <definedName name="LE_cont_tot">Poeng!$AE$197</definedName>
    <definedName name="LE_Credits">Poeng!$AB$197</definedName>
    <definedName name="LE_Weight">'Summary of Building Performance'!$J$43</definedName>
    <definedName name="LE01_07">Poeng!$AD$169</definedName>
    <definedName name="LE01_08">Poeng!$AE$169</definedName>
    <definedName name="LE01_credits">Poeng!$AB$169</definedName>
    <definedName name="LE01_minstd">Poeng!$BE$169</definedName>
    <definedName name="LE01_tot">Poeng!$BR$169</definedName>
    <definedName name="LE01_user">Poeng!$AI$169</definedName>
    <definedName name="LE02_07">Poeng!$AD$171</definedName>
    <definedName name="LE02_08">Poeng!$AE$171</definedName>
    <definedName name="LE02_credits">Poeng!$AB$171</definedName>
    <definedName name="LE02_minstd">Poeng!$BE$171</definedName>
    <definedName name="LE02_tot">Poeng!$BR$171</definedName>
    <definedName name="LE02_user">Poeng!$AI$171</definedName>
    <definedName name="LE03_07">Poeng!$AD$175</definedName>
    <definedName name="LE03_cont">Poeng!$AE$175</definedName>
    <definedName name="LE03_credits">Poeng!$AB$175</definedName>
    <definedName name="LE03_minstd">Poeng!$BE$175</definedName>
    <definedName name="LE03_user">Poeng!$AI$175</definedName>
    <definedName name="LE04_13">Poeng!$AD$179</definedName>
    <definedName name="LE04_14">Poeng!$AE$179</definedName>
    <definedName name="LE04_credits">Poeng!$AB$179</definedName>
    <definedName name="LE04_minstd">Poeng!$BE$179</definedName>
    <definedName name="LE04_tot">Poeng!$BR$179</definedName>
    <definedName name="LE04_user">Poeng!$AI$179</definedName>
    <definedName name="LE05_14">Poeng!$AD$183</definedName>
    <definedName name="LE05_15">Poeng!$AE$183</definedName>
    <definedName name="LE05_credits">Poeng!$AB$183</definedName>
    <definedName name="LE05_minstd">Poeng!$BE$183</definedName>
    <definedName name="LE05_minstdach">Poeng!$BE$183</definedName>
    <definedName name="LE05_tot">Poeng!$BR$183</definedName>
    <definedName name="LE05_user">Poeng!$AI$183</definedName>
    <definedName name="LE06_07">Poeng!$AD$187</definedName>
    <definedName name="LE06_contr">Poeng!$AE$187</definedName>
    <definedName name="LE06_credits">Poeng!$AB$187</definedName>
    <definedName name="LE06_minstd">Poeng!$BE$187</definedName>
    <definedName name="LE06_tot">Poeng!$BR$187</definedName>
    <definedName name="LE06_user">Poeng!$AI$187</definedName>
    <definedName name="LE07_07">Poeng!$AD$189</definedName>
    <definedName name="LE07_cont">Poeng!$AE$189</definedName>
    <definedName name="LE07_credits">Poeng!$AB$189</definedName>
    <definedName name="LE07_minstd">Poeng!$BE$189</definedName>
    <definedName name="LE07_user">Poeng!$AI$189</definedName>
    <definedName name="LE08_07">Poeng!$AD$192</definedName>
    <definedName name="LE08_cont">Poeng!$AE$192</definedName>
    <definedName name="LE08_credits">Poeng!$AB$192</definedName>
    <definedName name="LE08_minstd">Poeng!$BE$192</definedName>
    <definedName name="LE08_user">Poeng!$AI$192</definedName>
    <definedName name="Lue_c_user">Poeng!$AK$197</definedName>
    <definedName name="Lue_d_user">Poeng!$AJ$197</definedName>
    <definedName name="Lue_tot_user">Poeng!$AI$197</definedName>
    <definedName name="Man_01">Poeng!$E$10</definedName>
    <definedName name="Man_02">Poeng!$E$16</definedName>
    <definedName name="Man_03">Poeng!$E$19</definedName>
    <definedName name="Man_04">Poeng!$E$26</definedName>
    <definedName name="Man_05">Poeng!$E$30</definedName>
    <definedName name="Man_06">Poeng!$E$34</definedName>
    <definedName name="Man_07">Poeng!$E$35</definedName>
    <definedName name="Man_c_user">Poeng!$AK$36</definedName>
    <definedName name="Man_cont_tot">Poeng!$AE$36</definedName>
    <definedName name="Man_Credits">Poeng!$AB$36</definedName>
    <definedName name="Man_d_user">Poeng!$AJ$36</definedName>
    <definedName name="Man_tot_user">Poeng!$AI$36</definedName>
    <definedName name="Man_Weight">'Summary of Building Performance'!$J$36</definedName>
    <definedName name="Man01_37">Poeng!$BE$10</definedName>
    <definedName name="Man01_38">Poeng!$AD$10</definedName>
    <definedName name="Man01_39">Poeng!$AE$10</definedName>
    <definedName name="Man01_credits">Poeng!$AB$10</definedName>
    <definedName name="Man01_Crit1">Poeng!$E$238</definedName>
    <definedName name="Man01_Crit1_cont">Poeng!$AE$238</definedName>
    <definedName name="Man01_Crit1_credits">Poeng!$AB$238</definedName>
    <definedName name="Man01_Exemp">Poeng!$BS$10</definedName>
    <definedName name="Man01_minstd">Poeng!$BE$238</definedName>
    <definedName name="Man01_Tot">Poeng!$BR$10</definedName>
    <definedName name="Man01_user">Poeng!$AI$10</definedName>
    <definedName name="Man02_11">Poeng!$AD$16</definedName>
    <definedName name="Man02_12">Poeng!$AE$16</definedName>
    <definedName name="Man02_credits">Poeng!$AB$16</definedName>
    <definedName name="Man02_Exempl">Poeng!$BS$16</definedName>
    <definedName name="Man02_minstd">Poeng!$BE$16</definedName>
    <definedName name="Man02_Tot">Poeng!$BR$16</definedName>
    <definedName name="Man02_user">Poeng!$AI$16</definedName>
    <definedName name="Man03_12">Poeng!$AD$19</definedName>
    <definedName name="Man03_18">Poeng!$AE$19</definedName>
    <definedName name="Man03_credits">Poeng!$AB$19</definedName>
    <definedName name="Man03_Crit1">Poeng!$E$240</definedName>
    <definedName name="Man03_Crit1_credits">Poeng!$AB$240</definedName>
    <definedName name="Man03_minstd">Poeng!$BE$19</definedName>
    <definedName name="Man03_minstd_cri">Poeng!$BE$240</definedName>
    <definedName name="Man03_Tot">Poeng!$BR$19</definedName>
    <definedName name="Man03_user">Poeng!$AI$19</definedName>
    <definedName name="Man04_17">Poeng!$AD$26</definedName>
    <definedName name="Man04_cont">Poeng!$AE$26</definedName>
    <definedName name="Man04_credits">Poeng!$AB$26</definedName>
    <definedName name="Man04_Crit1">Poeng!$E$241</definedName>
    <definedName name="Man04_Crit1_credits">Poeng!$AB$241</definedName>
    <definedName name="Man04_minstd">Poeng!$BE$26</definedName>
    <definedName name="Man04_minstd_cri">Poeng!$BE$241</definedName>
    <definedName name="Man04_tot">Poeng!$BR$26</definedName>
    <definedName name="Man04_user">Poeng!$AI$26</definedName>
    <definedName name="Man05_10">Poeng!$AD$30</definedName>
    <definedName name="Man05_cont">Poeng!$AE$30</definedName>
    <definedName name="Man05_credits">Poeng!$AB$30</definedName>
    <definedName name="Man05_Crit1">Poeng!$E$242</definedName>
    <definedName name="Man05_Crit1_credits">Poeng!$AB$242</definedName>
    <definedName name="Man05_minstd">Poeng!$BE$30</definedName>
    <definedName name="Man05_minstd_cri">Poeng!$BE$242</definedName>
    <definedName name="Man05_tot">Poeng!$BR$30</definedName>
    <definedName name="Man05_user">Poeng!$AI$30</definedName>
    <definedName name="Man06_cont">Poeng!$AE$34</definedName>
    <definedName name="Man06_credits">Poeng!$AB$34</definedName>
    <definedName name="Man06_minstd">Poeng!$BE$34</definedName>
    <definedName name="Man06_user">Poeng!$AI$34</definedName>
    <definedName name="Man07_cont">Poeng!$AE$35</definedName>
    <definedName name="Man07_credits">Poeng!$AB$35</definedName>
    <definedName name="Man07_minstd">Poeng!$BE$35</definedName>
    <definedName name="Man07_user">Poeng!$AI$35</definedName>
    <definedName name="Mat_01">Poeng!$E$126</definedName>
    <definedName name="Mat_02">Poeng!$E$130</definedName>
    <definedName name="Mat_03">Poeng!$E$134</definedName>
    <definedName name="Mat_05">Poeng!$E$138</definedName>
    <definedName name="Mat_06">Poeng!$E$144</definedName>
    <definedName name="Mat_07">Poeng!$E$148</definedName>
    <definedName name="Mat_c_user">Poeng!$AK$152</definedName>
    <definedName name="Mat_cont_tot">Poeng!$AE$152</definedName>
    <definedName name="Mat_Credits">Poeng!$AB$152</definedName>
    <definedName name="Mat_d_user">Poeng!$AJ$152</definedName>
    <definedName name="Mat_tot_user">Poeng!$AI$152</definedName>
    <definedName name="Mat_Weight">'Summary of Building Performance'!$J$41</definedName>
    <definedName name="Mat01_08">Poeng!$BS$126</definedName>
    <definedName name="Mat01_27">Poeng!$AD$126</definedName>
    <definedName name="Mat01_28">Poeng!$AE$126</definedName>
    <definedName name="Mat01_credits">Poeng!$AB$126</definedName>
    <definedName name="Mat01_Crit1">Poeng!$E$244</definedName>
    <definedName name="Mat01_Crit1_credits">Poeng!$AB$244</definedName>
    <definedName name="Mat01_minstd">Poeng!$BE$244</definedName>
    <definedName name="Mat01_minstd2">Poeng!$BE$126</definedName>
    <definedName name="Mat01_tot">Poeng!$BR$126</definedName>
    <definedName name="Mat01_user">Poeng!$AI$126</definedName>
    <definedName name="Mat02_37">Poeng!$AD$130</definedName>
    <definedName name="Mat02_cont">Poeng!$AE$130</definedName>
    <definedName name="Mat02_credits">Poeng!$AB$130</definedName>
    <definedName name="Mat02_Crit1">Poeng!$E$237</definedName>
    <definedName name="Mat02_Crit1_cont">Poeng!$AE$237</definedName>
    <definedName name="Mat02_Crit1_credits">Poeng!$AB$237</definedName>
    <definedName name="Mat02_minstd">Poeng!$BE$237</definedName>
    <definedName name="Mat02_minstd2">Poeng!$BE$130</definedName>
    <definedName name="Mat02_user">Poeng!$AI$130</definedName>
    <definedName name="Mat03_35">Poeng!$BS$134</definedName>
    <definedName name="Mat03_36">Poeng!$BE$134</definedName>
    <definedName name="Mat03_37">Poeng!$AD$134</definedName>
    <definedName name="Mat03_38">Poeng!$AE$134</definedName>
    <definedName name="Mat03_credits">Poeng!$AB$134</definedName>
    <definedName name="Mat03_Crit1">Poeng!$E$252</definedName>
    <definedName name="Mat03_Crit1_cont">Poeng!$AE$252</definedName>
    <definedName name="Mat03_Crit1_credits">Poeng!$AB$252</definedName>
    <definedName name="Mat03_minstd">Poeng!$BE$252</definedName>
    <definedName name="Mat03_tot">Poeng!$BR$134</definedName>
    <definedName name="Mat03_user">Poeng!$AI$134</definedName>
    <definedName name="Mat05_05">Poeng!$AD$138</definedName>
    <definedName name="Mat05_06">Poeng!$AE$138</definedName>
    <definedName name="Mat05_credits">Poeng!$AB$138</definedName>
    <definedName name="Mat05_minstd">Poeng!$BE$138</definedName>
    <definedName name="Mat05_tot">Poeng!$BR$138</definedName>
    <definedName name="Mat05_user">Poeng!$AI$138</definedName>
    <definedName name="Mat06_05">Poeng!$AD$144</definedName>
    <definedName name="Mat06_cont">Poeng!$AE$144</definedName>
    <definedName name="Mat06_credits">Poeng!$AB$144</definedName>
    <definedName name="Mat06_Crit1">Poeng!$E$245</definedName>
    <definedName name="Mat06_Crit1_credits">Poeng!$AB$245</definedName>
    <definedName name="Mat06_minstd">Poeng!$BE$144</definedName>
    <definedName name="Mat06_minstd_cred">Poeng!$BE$245</definedName>
    <definedName name="Mat06_user">Poeng!$AI$144</definedName>
    <definedName name="Mat07_05">Poeng!$AD$148</definedName>
    <definedName name="Mat07_cont">Poeng!$AE$148</definedName>
    <definedName name="Mat07_credits">Poeng!$AB$148</definedName>
    <definedName name="Mat07_Crit1">Poeng!$E$247</definedName>
    <definedName name="Mat07_Crit1_credits">Poeng!$AB$247</definedName>
    <definedName name="Mat07_minstd">Poeng!$BE$148</definedName>
    <definedName name="Mat07_minstd_cred">Poeng!$BE$247</definedName>
    <definedName name="Mat07_user">Poeng!$AI$148</definedName>
    <definedName name="Note_minstand">Poeng!$BE$266</definedName>
    <definedName name="Note_minstand_const">Poeng!$BK$266</definedName>
    <definedName name="Note_minstand_design">Poeng!$BH$266</definedName>
    <definedName name="Poeng_bort">Poeng!$AA$257</definedName>
    <definedName name="Poeng_tilgj">Poeng!$AB$257</definedName>
    <definedName name="Poeng_tot">Poeng!$T$257</definedName>
    <definedName name="Pol_01">Poeng!$E$200</definedName>
    <definedName name="Pol_02">Poeng!$E$204</definedName>
    <definedName name="Pol_03">Poeng!$E$207</definedName>
    <definedName name="Pol_04">Poeng!$E$208</definedName>
    <definedName name="Pol_05">Poeng!$E$211</definedName>
    <definedName name="Pol_c_user">Poeng!$AK$214</definedName>
    <definedName name="Pol_cont_tot">Poeng!$AE$214</definedName>
    <definedName name="Pol_Credits">Poeng!$AB$214</definedName>
    <definedName name="Pol_d_user">Poeng!$AJ$214</definedName>
    <definedName name="Pol_tot_user">Poeng!$AI$214</definedName>
    <definedName name="Pol_Weight">'Summary of Building Performance'!$J$44</definedName>
    <definedName name="Pol01_19">Poeng!$AD$200</definedName>
    <definedName name="Pol01_20">Poeng!$AE$200</definedName>
    <definedName name="Pol01_credits">Poeng!$AB$200</definedName>
    <definedName name="Pol01_minstd">Poeng!$BE$200</definedName>
    <definedName name="Pol01_tot">Poeng!$BR$200</definedName>
    <definedName name="Pol01_user">Poeng!$AI$200</definedName>
    <definedName name="Pol02_26">Poeng!$AD$204</definedName>
    <definedName name="Pol02_27">Poeng!$AE$204</definedName>
    <definedName name="Pol02_credits">Poeng!$AB$204</definedName>
    <definedName name="Pol02_minstd">Poeng!$BE$204</definedName>
    <definedName name="Pol02_tot">Poeng!$BR$204</definedName>
    <definedName name="Pol02_user">Poeng!$AI$204</definedName>
    <definedName name="Pol03_14">Poeng!$AD$207</definedName>
    <definedName name="Pol03_15">Poeng!$AE$207</definedName>
    <definedName name="Pol03_credits">Poeng!$AB$207</definedName>
    <definedName name="Pol03_minstd">Poeng!$BE$207</definedName>
    <definedName name="Pol03_tot">Poeng!$BR$207</definedName>
    <definedName name="Pol03_user">Poeng!$AI$207</definedName>
    <definedName name="Pol04_05">Poeng!$AD$208</definedName>
    <definedName name="Pol04_06">Poeng!$AE$208</definedName>
    <definedName name="Pol04_credits">Poeng!$AB$208</definedName>
    <definedName name="Pol04_minstd">Poeng!$BE$208</definedName>
    <definedName name="Pol04_tot">Poeng!$BR$208</definedName>
    <definedName name="Pol04_user">Poeng!$AI$208</definedName>
    <definedName name="Pol05_10">Poeng!$AD$211</definedName>
    <definedName name="Pol05_11">Poeng!$AE$211</definedName>
    <definedName name="Pol05_credits">Poeng!$AB$211</definedName>
    <definedName name="Pol05_minstd">Poeng!$BE$211</definedName>
    <definedName name="Pol05_tot">Poeng!$BR$211</definedName>
    <definedName name="Pol05_user">Poeng!$AI$211</definedName>
    <definedName name="_xlnm.Print_Area" localSheetId="1">'Assessment Details'!$B$2:$F$54</definedName>
    <definedName name="_xlnm.Print_Area" localSheetId="0">Instructions!$B$2:$P$19</definedName>
    <definedName name="_xlnm.Print_Area" localSheetId="7">'PAE available for copy'!$D$1:$Z$225</definedName>
    <definedName name="_xlnm.Print_Area" localSheetId="2">'Pre-Assessment Estimator'!$E$1:$AB$225</definedName>
    <definedName name="_xlnm.Print_Area" localSheetId="6">'Summary of Building Performance'!$B$2:$P$113</definedName>
    <definedName name="_xlnm.Print_Area" localSheetId="8">'Version Control'!$B$2:$P$22</definedName>
    <definedName name="_xlnm.Print_Titles" localSheetId="7">'PAE available for copy'!$9:$9</definedName>
    <definedName name="_xlnm.Print_Titles" localSheetId="2">'Pre-Assessment Estimator'!$9:$9</definedName>
    <definedName name="projecttype">'Assessment Details'!$P$98</definedName>
    <definedName name="Score_const">'Summary of Building Performance'!$M$46</definedName>
    <definedName name="Score_design">'Summary of Building Performance'!$L$46</definedName>
    <definedName name="Score_Initial">'Summary of Building Performance'!$K$46</definedName>
    <definedName name="status">'Assessment Details'!$O$45:$O$48</definedName>
    <definedName name="Tra_01">Poeng!$E$100</definedName>
    <definedName name="Tra_02">Poeng!$E$103</definedName>
    <definedName name="Tra_03">Poeng!$E$106</definedName>
    <definedName name="Tra_04">Poeng!$E$107</definedName>
    <definedName name="Tra_05">Poeng!$E$108</definedName>
    <definedName name="Tra_06">Poeng!$E$109</definedName>
    <definedName name="Tra_c_user">Poeng!$AK$110</definedName>
    <definedName name="Tra_cont_tot">Poeng!$AE$110</definedName>
    <definedName name="Tra_Credits">Poeng!$AB$110</definedName>
    <definedName name="Tra_d_user">Poeng!$AJ$110</definedName>
    <definedName name="Tra_tot_user">Poeng!$AI$110</definedName>
    <definedName name="Tra_Weight">'Summary of Building Performance'!$J$39</definedName>
    <definedName name="Tra01_07">Poeng!$AD$100</definedName>
    <definedName name="TRa01_08">Poeng!$AE$100</definedName>
    <definedName name="TRA01_BuildType">'Assessment Details'!$O$24:$O$30</definedName>
    <definedName name="Tra01_credits">Poeng!$AB$100</definedName>
    <definedName name="Tra01_Crit1">Poeng!$E$243</definedName>
    <definedName name="Tra01_Crit1_credits">Poeng!$AB$243</definedName>
    <definedName name="Tra01_minstd">Poeng!$BE$243</definedName>
    <definedName name="Tra01_tot">Poeng!$BR$100</definedName>
    <definedName name="Tra01_type7">'Assessment Details'!$O$30</definedName>
    <definedName name="Tra01_user">Poeng!$AI$100</definedName>
    <definedName name="Tra02_06">Poeng!$AD$103</definedName>
    <definedName name="Tra02_07">Poeng!$AE$103</definedName>
    <definedName name="Tra02_credits">Poeng!$AB$103</definedName>
    <definedName name="Tra02_minstd">Poeng!$BE$103</definedName>
    <definedName name="Tra02_tot">Poeng!$BR$103</definedName>
    <definedName name="Tra02_user">Poeng!$AI$103</definedName>
    <definedName name="Tra03_02">'Assessment Details'!$P$64:$P$64</definedName>
    <definedName name="Tra03_13">Poeng!$AD$106</definedName>
    <definedName name="Tra03_14">Poeng!$AE$106</definedName>
    <definedName name="Tra03_credits">Poeng!$AB$106</definedName>
    <definedName name="Tra03_minstd">Poeng!$BE$106</definedName>
    <definedName name="Tra03_tot">Poeng!$BR$106</definedName>
    <definedName name="Tra03_user">Poeng!$AI$106</definedName>
    <definedName name="Tra04_09">Poeng!$AD$107</definedName>
    <definedName name="Tra04_10">Poeng!$AE$107</definedName>
    <definedName name="Tra04_credits">Poeng!$AB$107</definedName>
    <definedName name="Tra04_minstd">Poeng!$BE$107</definedName>
    <definedName name="Tra04_tot">Poeng!$BR$107</definedName>
    <definedName name="Tra04_user">Poeng!$AI$107</definedName>
    <definedName name="Tra05_04">Poeng!$AD$108</definedName>
    <definedName name="Tra05_05">Poeng!$AE$108</definedName>
    <definedName name="Tra05_credits">Poeng!$AB$108</definedName>
    <definedName name="Tra05_minstd">Poeng!$BE$108</definedName>
    <definedName name="Tra05_tot">Poeng!$BR$108</definedName>
    <definedName name="Tra05_user">Poeng!$AI$108</definedName>
    <definedName name="Tra06_04">Poeng!$AD$109</definedName>
    <definedName name="Tra06_05">Poeng!$AE$109</definedName>
    <definedName name="Tra06_credits">Poeng!$AB$109</definedName>
    <definedName name="Tra06_minstd">Poeng!$BE$109</definedName>
    <definedName name="Tra06_user">Poeng!$AI$109</definedName>
    <definedName name="TVC_current_date">'Version Control'!$C$5</definedName>
    <definedName name="TVC_current_version">'Version Control'!$B$5</definedName>
    <definedName name="Wat__Credits">Poeng!$AB$123</definedName>
    <definedName name="Wat_01">Poeng!$E$113</definedName>
    <definedName name="Wat_02">Poeng!$E$115</definedName>
    <definedName name="Wat_03">Poeng!$E$117</definedName>
    <definedName name="Wat_04">Poeng!$E$121</definedName>
    <definedName name="Wat_c_user">Poeng!$AK$123</definedName>
    <definedName name="Wat_cont_tot">Poeng!$AE$123</definedName>
    <definedName name="Wat_Credits">Poeng!$AB$123</definedName>
    <definedName name="Wat_d_user">Poeng!$AJ$123</definedName>
    <definedName name="Wat_tot_user">Poeng!$AI$123</definedName>
    <definedName name="Wat_Weight">'Summary of Building Performance'!$J$40</definedName>
    <definedName name="Wat01_08">Poeng!$BS$113</definedName>
    <definedName name="Wat01_09">Poeng!$BE$113</definedName>
    <definedName name="Wat01_14">Poeng!$AD$113</definedName>
    <definedName name="Wat01_15">Poeng!$AE$113</definedName>
    <definedName name="Wat01_credits">Poeng!$AB$113</definedName>
    <definedName name="Wat01_minstd">Poeng!$BE$113</definedName>
    <definedName name="Wat01_tot">Poeng!$BR$113</definedName>
    <definedName name="Wat01_user">Poeng!$AI$113</definedName>
    <definedName name="Wat02_10">Poeng!$BS$115</definedName>
    <definedName name="Wat02_11">Poeng!$BE$115</definedName>
    <definedName name="Wat02_12">Poeng!$AD$115</definedName>
    <definedName name="Wat02_13">Poeng!$AE$115</definedName>
    <definedName name="Wat02_credits">Poeng!$AB$115</definedName>
    <definedName name="Wat02_tot">Poeng!$BR$115</definedName>
    <definedName name="Wat02_user">Poeng!$AI$115</definedName>
    <definedName name="Wat03_09">Poeng!$AD$117</definedName>
    <definedName name="Wat03_10">Poeng!$AE$117</definedName>
    <definedName name="Wat03_credits">Poeng!$AB$117</definedName>
    <definedName name="Wat03_minstd">Poeng!$BE$117</definedName>
    <definedName name="Wat03_tot">Poeng!$BR$117</definedName>
    <definedName name="Wat03_user">Poeng!$AI$117</definedName>
    <definedName name="Wat04_05">Poeng!$AD$121</definedName>
    <definedName name="Wat04_06">Poeng!$AE$121</definedName>
    <definedName name="Wat04_credits">Poeng!$AB$121</definedName>
    <definedName name="Wat04_minstd">Poeng!$BE$121</definedName>
    <definedName name="Wat04_tot">Poeng!$BR$121</definedName>
    <definedName name="Wat04_user">Poeng!$AI$121</definedName>
    <definedName name="Wst_01">Poeng!$E$155</definedName>
    <definedName name="Wst_02">Poeng!$E$159</definedName>
    <definedName name="Wst_03">Poeng!$E$160</definedName>
    <definedName name="Wst_04">Poeng!$E$164</definedName>
    <definedName name="Wst_c_user">Poeng!$AK$166</definedName>
    <definedName name="Wst_cont_tot">Poeng!$AE$166</definedName>
    <definedName name="Wst_Credits">Poeng!$AB$166</definedName>
    <definedName name="Wst_d_user">Poeng!$AJ$166</definedName>
    <definedName name="Wst_tot_user">Poeng!$AI$166</definedName>
    <definedName name="Wst_Weight">'Summary of Building Performance'!$J$42</definedName>
    <definedName name="Wst01_17">Poeng!$BS$155</definedName>
    <definedName name="Wst01_18">Poeng!$BE$155</definedName>
    <definedName name="Wst01_27">Poeng!$AD$155</definedName>
    <definedName name="Wst01_28">Poeng!$AE$155</definedName>
    <definedName name="Wst01_credits">Poeng!$AB$155</definedName>
    <definedName name="Wst01_Crit1">Poeng!$E$248</definedName>
    <definedName name="Wst01_Crit1_credits">Poeng!$AB$248</definedName>
    <definedName name="Wst01_minstd">Poeng!$BE$248</definedName>
    <definedName name="Wst01_tot">Poeng!$BR$155</definedName>
    <definedName name="Wst01_user">Poeng!$AI$155</definedName>
    <definedName name="Wst02_11">Poeng!$BS$159</definedName>
    <definedName name="Wst02_14">Poeng!$AD$159</definedName>
    <definedName name="Wst02_15">Poeng!$AE$159</definedName>
    <definedName name="Wst02_credits">Poeng!$AB$159</definedName>
    <definedName name="Wst02_minstd">Poeng!$BE$159</definedName>
    <definedName name="Wst02_tot">Poeng!$BR$159</definedName>
    <definedName name="Wst02_user">Poeng!$AI$159</definedName>
    <definedName name="Wst03_09">Poeng!$BS$160</definedName>
    <definedName name="Wst03_10">Poeng!$BE$160</definedName>
    <definedName name="Wst03_12">Poeng!$AD$160</definedName>
    <definedName name="Wst03_13">Poeng!$AE$160</definedName>
    <definedName name="Wst03_credits">Poeng!$AB$160</definedName>
    <definedName name="Wst03_tot">Poeng!$BR$160</definedName>
    <definedName name="Wst03_user">Poeng!$AI$160</definedName>
    <definedName name="Wst04_08">Poeng!$AD$164</definedName>
    <definedName name="Wst04_09">Poeng!$AE$164</definedName>
    <definedName name="Wst04_credits">Poeng!$AB$164</definedName>
    <definedName name="Wst04_minstd">Poeng!$BE$164</definedName>
    <definedName name="Wst04_tot">Poeng!$BR$164</definedName>
    <definedName name="Wst04_user">Poeng!$AI$164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12" i="21" l="1"/>
  <c r="R39" i="21"/>
  <c r="K39" i="21"/>
  <c r="K40" i="21"/>
  <c r="AB40" i="21"/>
  <c r="Z40" i="21"/>
  <c r="Y40" i="21"/>
  <c r="X40" i="21"/>
  <c r="U40" i="21"/>
  <c r="S40" i="21"/>
  <c r="R40" i="21"/>
  <c r="Q40" i="21"/>
  <c r="N40" i="21"/>
  <c r="L40" i="21"/>
  <c r="J40" i="21"/>
  <c r="G40" i="21"/>
  <c r="F40" i="21"/>
  <c r="AF40" i="21" s="1"/>
  <c r="E40" i="21"/>
  <c r="D40" i="21"/>
  <c r="T55" i="11" l="1"/>
  <c r="T56" i="11"/>
  <c r="T57" i="11"/>
  <c r="T58" i="11"/>
  <c r="T59" i="11"/>
  <c r="T60" i="11"/>
  <c r="T61" i="11"/>
  <c r="T62" i="11"/>
  <c r="T63" i="11"/>
  <c r="T64" i="11"/>
  <c r="T65" i="11"/>
  <c r="T66" i="11"/>
  <c r="T67" i="11"/>
  <c r="T68" i="11"/>
  <c r="T69" i="11"/>
  <c r="T70" i="11"/>
  <c r="T71" i="11"/>
  <c r="T72" i="11"/>
  <c r="T73" i="11"/>
  <c r="T74" i="11"/>
  <c r="T75" i="11"/>
  <c r="T76" i="11"/>
  <c r="T77" i="11"/>
  <c r="T78" i="11"/>
  <c r="T79" i="11"/>
  <c r="T80" i="11"/>
  <c r="T81" i="11"/>
  <c r="T82" i="11"/>
  <c r="T83" i="11"/>
  <c r="T84" i="11"/>
  <c r="T85" i="11"/>
  <c r="T54" i="11"/>
  <c r="J54" i="11"/>
  <c r="J83" i="11"/>
  <c r="J82" i="11"/>
  <c r="J81" i="11"/>
  <c r="J80" i="11"/>
  <c r="J79" i="11"/>
  <c r="J76" i="11"/>
  <c r="J75" i="11"/>
  <c r="J72" i="11"/>
  <c r="J71" i="11"/>
  <c r="J70" i="11"/>
  <c r="J69" i="11"/>
  <c r="J66" i="11"/>
  <c r="J63" i="11"/>
  <c r="J62" i="11"/>
  <c r="J59" i="11"/>
  <c r="J55" i="11"/>
  <c r="J56" i="11"/>
  <c r="E131" i="13"/>
  <c r="F122" i="5"/>
  <c r="E122" i="5"/>
  <c r="W106" i="5"/>
  <c r="V106" i="5"/>
  <c r="P106" i="5"/>
  <c r="O106" i="5"/>
  <c r="I106" i="5"/>
  <c r="H106" i="5"/>
  <c r="F106" i="5"/>
  <c r="E106" i="5"/>
  <c r="W150" i="5"/>
  <c r="V150" i="5"/>
  <c r="P150" i="5"/>
  <c r="O150" i="5"/>
  <c r="I150" i="5"/>
  <c r="H150" i="5"/>
  <c r="F150" i="5"/>
  <c r="E150" i="5"/>
  <c r="AF40" i="5" l="1"/>
  <c r="AE40" i="5"/>
  <c r="AD40" i="5"/>
  <c r="V40" i="5"/>
  <c r="V40" i="21" s="1"/>
  <c r="O40" i="5"/>
  <c r="O40" i="21" s="1"/>
  <c r="H40" i="5"/>
  <c r="H40" i="21" s="1"/>
  <c r="E40" i="5"/>
  <c r="BT235" i="13"/>
  <c r="BS235" i="13"/>
  <c r="BR235" i="13"/>
  <c r="C40" i="5"/>
  <c r="H192" i="16" l="1"/>
  <c r="H38" i="16"/>
  <c r="I23" i="3"/>
  <c r="H22" i="16"/>
  <c r="D12" i="21" l="1"/>
  <c r="D13" i="21"/>
  <c r="D14" i="21"/>
  <c r="D15" i="21"/>
  <c r="D16" i="21"/>
  <c r="D17" i="21"/>
  <c r="D18" i="21"/>
  <c r="D19" i="21"/>
  <c r="D20" i="21"/>
  <c r="D21" i="21"/>
  <c r="D22" i="21"/>
  <c r="D23" i="21"/>
  <c r="D24" i="21"/>
  <c r="D25" i="21"/>
  <c r="D26" i="21"/>
  <c r="D27" i="21"/>
  <c r="D28" i="21"/>
  <c r="D29" i="21"/>
  <c r="D30" i="21"/>
  <c r="D31" i="21"/>
  <c r="D32" i="21"/>
  <c r="D33" i="21"/>
  <c r="D34" i="21"/>
  <c r="D38" i="21"/>
  <c r="D46" i="21"/>
  <c r="D51" i="21"/>
  <c r="D55" i="21"/>
  <c r="D58" i="21"/>
  <c r="D61" i="21"/>
  <c r="D66" i="21"/>
  <c r="D73" i="21"/>
  <c r="D77" i="21"/>
  <c r="D80" i="21"/>
  <c r="D83" i="21"/>
  <c r="D87" i="21"/>
  <c r="D90" i="21"/>
  <c r="D95" i="21"/>
  <c r="D98" i="21"/>
  <c r="D104" i="21"/>
  <c r="D107" i="21"/>
  <c r="D109" i="21"/>
  <c r="D113" i="21"/>
  <c r="D118" i="21"/>
  <c r="D122" i="21"/>
  <c r="D126" i="21"/>
  <c r="D130" i="21"/>
  <c r="D136" i="21"/>
  <c r="D141" i="21"/>
  <c r="D148" i="21"/>
  <c r="D154" i="21"/>
  <c r="D156" i="21"/>
  <c r="D158" i="21"/>
  <c r="D163" i="21"/>
  <c r="D166" i="21"/>
  <c r="D170" i="21"/>
  <c r="D171" i="21"/>
  <c r="D172" i="21"/>
  <c r="D173" i="21"/>
  <c r="D177" i="21"/>
  <c r="D181" i="21"/>
  <c r="D183" i="21"/>
  <c r="D186" i="21"/>
  <c r="D194" i="21"/>
  <c r="D199" i="21"/>
  <c r="D202" i="21"/>
  <c r="D205" i="21"/>
  <c r="D211" i="21"/>
  <c r="D212" i="21"/>
  <c r="D213" i="21"/>
  <c r="D214" i="21"/>
  <c r="D215" i="21"/>
  <c r="D216" i="21"/>
  <c r="D217" i="21"/>
  <c r="D218" i="21"/>
  <c r="D219" i="21"/>
  <c r="D220" i="21"/>
  <c r="D221" i="21"/>
  <c r="D222" i="21"/>
  <c r="D223" i="21"/>
  <c r="D224" i="21"/>
  <c r="D11" i="21"/>
  <c r="Z71" i="21" l="1"/>
  <c r="Y71" i="21"/>
  <c r="X71" i="21"/>
  <c r="U71" i="21"/>
  <c r="S71" i="21"/>
  <c r="R71" i="21"/>
  <c r="Q71" i="21"/>
  <c r="N71" i="21"/>
  <c r="L71" i="21"/>
  <c r="K71" i="21"/>
  <c r="J71" i="21"/>
  <c r="G71" i="21"/>
  <c r="G204" i="21"/>
  <c r="J204" i="21"/>
  <c r="K204" i="21"/>
  <c r="L204" i="21"/>
  <c r="N204" i="21"/>
  <c r="Q204" i="21"/>
  <c r="R204" i="21"/>
  <c r="S204" i="21"/>
  <c r="U204" i="21"/>
  <c r="X204" i="21"/>
  <c r="Y204" i="21"/>
  <c r="Z204" i="21"/>
  <c r="G205" i="21"/>
  <c r="J205" i="21"/>
  <c r="K205" i="21"/>
  <c r="L205" i="21"/>
  <c r="N205" i="21"/>
  <c r="Q205" i="21"/>
  <c r="R205" i="21"/>
  <c r="S205" i="21"/>
  <c r="U205" i="21"/>
  <c r="X205" i="21"/>
  <c r="Y205" i="21"/>
  <c r="Z205" i="21"/>
  <c r="G206" i="21"/>
  <c r="J206" i="21"/>
  <c r="K206" i="21"/>
  <c r="L206" i="21"/>
  <c r="N206" i="21"/>
  <c r="Q206" i="21"/>
  <c r="R206" i="21"/>
  <c r="S206" i="21"/>
  <c r="U206" i="21"/>
  <c r="X206" i="21"/>
  <c r="Y206" i="21"/>
  <c r="Z206" i="21"/>
  <c r="G207" i="21"/>
  <c r="J207" i="21"/>
  <c r="K207" i="21"/>
  <c r="L207" i="21"/>
  <c r="N207" i="21"/>
  <c r="Q207" i="21"/>
  <c r="R207" i="21"/>
  <c r="S207" i="21"/>
  <c r="U207" i="21"/>
  <c r="X207" i="21"/>
  <c r="Y207" i="21"/>
  <c r="Z207" i="21"/>
  <c r="G208" i="21"/>
  <c r="J208" i="21"/>
  <c r="K208" i="21"/>
  <c r="L208" i="21"/>
  <c r="N208" i="21"/>
  <c r="Q208" i="21"/>
  <c r="R208" i="21"/>
  <c r="S208" i="21"/>
  <c r="U208" i="21"/>
  <c r="X208" i="21"/>
  <c r="Y208" i="21"/>
  <c r="Z208" i="21"/>
  <c r="G183" i="21"/>
  <c r="J183" i="21"/>
  <c r="K183" i="21"/>
  <c r="L183" i="21"/>
  <c r="N183" i="21"/>
  <c r="Q183" i="21"/>
  <c r="R183" i="21"/>
  <c r="S183" i="21"/>
  <c r="U183" i="21"/>
  <c r="X183" i="21"/>
  <c r="Y183" i="21"/>
  <c r="Z183" i="21"/>
  <c r="G184" i="21"/>
  <c r="J184" i="21"/>
  <c r="K184" i="21"/>
  <c r="L184" i="21"/>
  <c r="N184" i="21"/>
  <c r="Q184" i="21"/>
  <c r="R184" i="21"/>
  <c r="S184" i="21"/>
  <c r="U184" i="21"/>
  <c r="X184" i="21"/>
  <c r="Y184" i="21"/>
  <c r="Z184" i="21"/>
  <c r="G185" i="21"/>
  <c r="J185" i="21"/>
  <c r="K185" i="21"/>
  <c r="L185" i="21"/>
  <c r="N185" i="21"/>
  <c r="Q185" i="21"/>
  <c r="R185" i="21"/>
  <c r="S185" i="21"/>
  <c r="U185" i="21"/>
  <c r="X185" i="21"/>
  <c r="Y185" i="21"/>
  <c r="Z185" i="21"/>
  <c r="G186" i="21"/>
  <c r="J186" i="21"/>
  <c r="K186" i="21"/>
  <c r="L186" i="21"/>
  <c r="N186" i="21"/>
  <c r="Q186" i="21"/>
  <c r="R186" i="21"/>
  <c r="S186" i="21"/>
  <c r="U186" i="21"/>
  <c r="X186" i="21"/>
  <c r="Y186" i="21"/>
  <c r="Z186" i="21"/>
  <c r="G187" i="21"/>
  <c r="J187" i="21"/>
  <c r="K187" i="21"/>
  <c r="L187" i="21"/>
  <c r="N187" i="21"/>
  <c r="Q187" i="21"/>
  <c r="R187" i="21"/>
  <c r="S187" i="21"/>
  <c r="U187" i="21"/>
  <c r="X187" i="21"/>
  <c r="Y187" i="21"/>
  <c r="Z187" i="21"/>
  <c r="G188" i="21"/>
  <c r="J188" i="21"/>
  <c r="K188" i="21"/>
  <c r="L188" i="21"/>
  <c r="N188" i="21"/>
  <c r="Q188" i="21"/>
  <c r="R188" i="21"/>
  <c r="S188" i="21"/>
  <c r="U188" i="21"/>
  <c r="X188" i="21"/>
  <c r="Y188" i="21"/>
  <c r="Z188" i="21"/>
  <c r="G189" i="21"/>
  <c r="J189" i="21"/>
  <c r="K189" i="21"/>
  <c r="L189" i="21"/>
  <c r="N189" i="21"/>
  <c r="Q189" i="21"/>
  <c r="R189" i="21"/>
  <c r="S189" i="21"/>
  <c r="U189" i="21"/>
  <c r="X189" i="21"/>
  <c r="Y189" i="21"/>
  <c r="Z189" i="21"/>
  <c r="G190" i="21"/>
  <c r="J190" i="21"/>
  <c r="K190" i="21"/>
  <c r="L190" i="21"/>
  <c r="N190" i="21"/>
  <c r="Q190" i="21"/>
  <c r="R190" i="21"/>
  <c r="S190" i="21"/>
  <c r="U190" i="21"/>
  <c r="X190" i="21"/>
  <c r="Y190" i="21"/>
  <c r="Z190" i="21"/>
  <c r="G191" i="21"/>
  <c r="J191" i="21"/>
  <c r="K191" i="21"/>
  <c r="L191" i="21"/>
  <c r="N191" i="21"/>
  <c r="Q191" i="21"/>
  <c r="R191" i="21"/>
  <c r="S191" i="21"/>
  <c r="U191" i="21"/>
  <c r="X191" i="21"/>
  <c r="Y191" i="21"/>
  <c r="Z191" i="21"/>
  <c r="G151" i="21"/>
  <c r="J151" i="21"/>
  <c r="K151" i="21"/>
  <c r="L151" i="21"/>
  <c r="N151" i="21"/>
  <c r="Q151" i="21"/>
  <c r="R151" i="21"/>
  <c r="S151" i="21"/>
  <c r="U151" i="21"/>
  <c r="X151" i="21"/>
  <c r="Y151" i="21"/>
  <c r="Z151" i="21"/>
  <c r="G152" i="21"/>
  <c r="J152" i="21"/>
  <c r="K152" i="21"/>
  <c r="L152" i="21"/>
  <c r="N152" i="21"/>
  <c r="Q152" i="21"/>
  <c r="R152" i="21"/>
  <c r="S152" i="21"/>
  <c r="U152" i="21"/>
  <c r="X152" i="21"/>
  <c r="Y152" i="21"/>
  <c r="Z152" i="21"/>
  <c r="G153" i="21"/>
  <c r="J153" i="21"/>
  <c r="K153" i="21"/>
  <c r="L153" i="21"/>
  <c r="N153" i="21"/>
  <c r="Q153" i="21"/>
  <c r="R153" i="21"/>
  <c r="S153" i="21"/>
  <c r="U153" i="21"/>
  <c r="X153" i="21"/>
  <c r="Y153" i="21"/>
  <c r="Z153" i="21"/>
  <c r="G154" i="21"/>
  <c r="J154" i="21"/>
  <c r="K154" i="21"/>
  <c r="L154" i="21"/>
  <c r="N154" i="21"/>
  <c r="Q154" i="21"/>
  <c r="R154" i="21"/>
  <c r="S154" i="21"/>
  <c r="U154" i="21"/>
  <c r="X154" i="21"/>
  <c r="Y154" i="21"/>
  <c r="Z154" i="21"/>
  <c r="G155" i="21"/>
  <c r="J155" i="21"/>
  <c r="K155" i="21"/>
  <c r="L155" i="21"/>
  <c r="N155" i="21"/>
  <c r="Q155" i="21"/>
  <c r="R155" i="21"/>
  <c r="S155" i="21"/>
  <c r="U155" i="21"/>
  <c r="X155" i="21"/>
  <c r="Y155" i="21"/>
  <c r="Z155" i="21"/>
  <c r="G156" i="21"/>
  <c r="J156" i="21"/>
  <c r="K156" i="21"/>
  <c r="L156" i="21"/>
  <c r="N156" i="21"/>
  <c r="Q156" i="21"/>
  <c r="R156" i="21"/>
  <c r="S156" i="21"/>
  <c r="U156" i="21"/>
  <c r="X156" i="21"/>
  <c r="Y156" i="21"/>
  <c r="Z156" i="21"/>
  <c r="G157" i="21"/>
  <c r="J157" i="21"/>
  <c r="K157" i="21"/>
  <c r="L157" i="21"/>
  <c r="N157" i="21"/>
  <c r="Q157" i="21"/>
  <c r="R157" i="21"/>
  <c r="S157" i="21"/>
  <c r="U157" i="21"/>
  <c r="X157" i="21"/>
  <c r="Y157" i="21"/>
  <c r="Z157" i="21"/>
  <c r="G158" i="21"/>
  <c r="J158" i="21"/>
  <c r="K158" i="21"/>
  <c r="L158" i="21"/>
  <c r="N158" i="21"/>
  <c r="Q158" i="21"/>
  <c r="R158" i="21"/>
  <c r="S158" i="21"/>
  <c r="U158" i="21"/>
  <c r="X158" i="21"/>
  <c r="Y158" i="21"/>
  <c r="Z158" i="21"/>
  <c r="G159" i="21"/>
  <c r="J159" i="21"/>
  <c r="K159" i="21"/>
  <c r="L159" i="21"/>
  <c r="N159" i="21"/>
  <c r="Q159" i="21"/>
  <c r="R159" i="21"/>
  <c r="S159" i="21"/>
  <c r="U159" i="21"/>
  <c r="X159" i="21"/>
  <c r="Y159" i="21"/>
  <c r="Z159" i="21"/>
  <c r="G160" i="21"/>
  <c r="J160" i="21"/>
  <c r="K160" i="21"/>
  <c r="L160" i="21"/>
  <c r="N160" i="21"/>
  <c r="Q160" i="21"/>
  <c r="R160" i="21"/>
  <c r="S160" i="21"/>
  <c r="U160" i="21"/>
  <c r="X160" i="21"/>
  <c r="Y160" i="21"/>
  <c r="Z160" i="21"/>
  <c r="G143" i="21"/>
  <c r="J143" i="21"/>
  <c r="K143" i="21"/>
  <c r="L143" i="21"/>
  <c r="N143" i="21"/>
  <c r="Q143" i="21"/>
  <c r="R143" i="21"/>
  <c r="S143" i="21"/>
  <c r="U143" i="21"/>
  <c r="X143" i="21"/>
  <c r="Y143" i="21"/>
  <c r="Z143" i="21"/>
  <c r="G144" i="21"/>
  <c r="J144" i="21"/>
  <c r="K144" i="21"/>
  <c r="L144" i="21"/>
  <c r="N144" i="21"/>
  <c r="Q144" i="21"/>
  <c r="R144" i="21"/>
  <c r="S144" i="21"/>
  <c r="U144" i="21"/>
  <c r="X144" i="21"/>
  <c r="Y144" i="21"/>
  <c r="Z144" i="21"/>
  <c r="G145" i="21"/>
  <c r="J145" i="21"/>
  <c r="K145" i="21"/>
  <c r="L145" i="21"/>
  <c r="N145" i="21"/>
  <c r="Q145" i="21"/>
  <c r="R145" i="21"/>
  <c r="S145" i="21"/>
  <c r="U145" i="21"/>
  <c r="X145" i="21"/>
  <c r="Y145" i="21"/>
  <c r="Z145" i="21"/>
  <c r="G114" i="21"/>
  <c r="J114" i="21"/>
  <c r="K114" i="21"/>
  <c r="L114" i="21"/>
  <c r="N114" i="21"/>
  <c r="Q114" i="21"/>
  <c r="R114" i="21"/>
  <c r="S114" i="21"/>
  <c r="U114" i="21"/>
  <c r="X114" i="21"/>
  <c r="Y114" i="21"/>
  <c r="Z114" i="21"/>
  <c r="G115" i="21"/>
  <c r="J115" i="21"/>
  <c r="K115" i="21"/>
  <c r="L115" i="21"/>
  <c r="N115" i="21"/>
  <c r="Q115" i="21"/>
  <c r="R115" i="21"/>
  <c r="S115" i="21"/>
  <c r="U115" i="21"/>
  <c r="X115" i="21"/>
  <c r="Y115" i="21"/>
  <c r="Z115" i="21"/>
  <c r="AB117" i="21"/>
  <c r="AF117" i="21"/>
  <c r="G222" i="21"/>
  <c r="J222" i="21"/>
  <c r="K222" i="21"/>
  <c r="L222" i="21"/>
  <c r="N222" i="21"/>
  <c r="Q222" i="21"/>
  <c r="R222" i="21"/>
  <c r="S222" i="21"/>
  <c r="U222" i="21"/>
  <c r="X222" i="21"/>
  <c r="Y222" i="21"/>
  <c r="Z222" i="21"/>
  <c r="G223" i="21"/>
  <c r="J223" i="21"/>
  <c r="K223" i="21"/>
  <c r="L223" i="21"/>
  <c r="N223" i="21"/>
  <c r="Q223" i="21"/>
  <c r="R223" i="21"/>
  <c r="S223" i="21"/>
  <c r="U223" i="21"/>
  <c r="X223" i="21"/>
  <c r="Y223" i="21"/>
  <c r="Z223" i="21"/>
  <c r="G224" i="21"/>
  <c r="J224" i="21"/>
  <c r="K224" i="21"/>
  <c r="L224" i="21"/>
  <c r="N224" i="21"/>
  <c r="Q224" i="21"/>
  <c r="R224" i="21"/>
  <c r="S224" i="21"/>
  <c r="U224" i="21"/>
  <c r="X224" i="21"/>
  <c r="Y224" i="21"/>
  <c r="Z224" i="21"/>
  <c r="G225" i="21"/>
  <c r="J225" i="21"/>
  <c r="K225" i="21"/>
  <c r="L225" i="21"/>
  <c r="N225" i="21"/>
  <c r="Q225" i="21"/>
  <c r="R225" i="21"/>
  <c r="S225" i="21"/>
  <c r="U225" i="21"/>
  <c r="X225" i="21"/>
  <c r="Y225" i="21"/>
  <c r="Z225" i="21"/>
  <c r="BT250" i="13" l="1"/>
  <c r="BS250" i="13"/>
  <c r="BR250" i="13"/>
  <c r="AF137" i="5" l="1"/>
  <c r="AE137" i="5"/>
  <c r="AD137" i="5"/>
  <c r="C137" i="5"/>
  <c r="D137" i="21" s="1"/>
  <c r="C138" i="5"/>
  <c r="D138" i="21" s="1"/>
  <c r="BP158" i="13"/>
  <c r="BP156" i="13"/>
  <c r="BP114" i="13"/>
  <c r="BQ255" i="13"/>
  <c r="BQ254" i="13"/>
  <c r="BQ253" i="13"/>
  <c r="AF149" i="5"/>
  <c r="AE149" i="5"/>
  <c r="AD149" i="5"/>
  <c r="AF105" i="5"/>
  <c r="AE105" i="5"/>
  <c r="AD105" i="5"/>
  <c r="C149" i="5"/>
  <c r="D149" i="21" s="1"/>
  <c r="C150" i="5"/>
  <c r="D150" i="21" s="1"/>
  <c r="AF70" i="5"/>
  <c r="AE70" i="5"/>
  <c r="AD70" i="5"/>
  <c r="C105" i="5"/>
  <c r="D105" i="21" s="1"/>
  <c r="C106" i="5"/>
  <c r="D106" i="21" s="1"/>
  <c r="BQ251" i="13"/>
  <c r="U94" i="13" l="1"/>
  <c r="U93" i="13" s="1"/>
  <c r="AF36" i="21"/>
  <c r="AF37" i="21"/>
  <c r="AF64" i="21"/>
  <c r="AF65" i="21"/>
  <c r="AF93" i="21"/>
  <c r="AF94" i="21"/>
  <c r="AF102" i="21"/>
  <c r="AF103" i="21"/>
  <c r="AF116" i="21"/>
  <c r="Z221" i="21"/>
  <c r="Y221" i="21"/>
  <c r="X221" i="21"/>
  <c r="U221" i="21"/>
  <c r="S221" i="21"/>
  <c r="R221" i="21"/>
  <c r="Q221" i="21"/>
  <c r="N221" i="21"/>
  <c r="L221" i="21"/>
  <c r="K221" i="21"/>
  <c r="J221" i="21"/>
  <c r="G221" i="21"/>
  <c r="Z220" i="21"/>
  <c r="Y220" i="21"/>
  <c r="X220" i="21"/>
  <c r="U220" i="21"/>
  <c r="S220" i="21"/>
  <c r="R220" i="21"/>
  <c r="Q220" i="21"/>
  <c r="N220" i="21"/>
  <c r="L220" i="21"/>
  <c r="K220" i="21"/>
  <c r="J220" i="21"/>
  <c r="G220" i="21"/>
  <c r="Z219" i="21"/>
  <c r="Y219" i="21"/>
  <c r="X219" i="21"/>
  <c r="U219" i="21"/>
  <c r="S219" i="21"/>
  <c r="R219" i="21"/>
  <c r="Q219" i="21"/>
  <c r="N219" i="21"/>
  <c r="L219" i="21"/>
  <c r="K219" i="21"/>
  <c r="J219" i="21"/>
  <c r="G219" i="21"/>
  <c r="Z218" i="21"/>
  <c r="Y218" i="21"/>
  <c r="X218" i="21"/>
  <c r="U218" i="21"/>
  <c r="S218" i="21"/>
  <c r="R218" i="21"/>
  <c r="Q218" i="21"/>
  <c r="N218" i="21"/>
  <c r="L218" i="21"/>
  <c r="K218" i="21"/>
  <c r="J218" i="21"/>
  <c r="G218" i="21"/>
  <c r="Z217" i="21"/>
  <c r="Y217" i="21"/>
  <c r="X217" i="21"/>
  <c r="U217" i="21"/>
  <c r="S217" i="21"/>
  <c r="R217" i="21"/>
  <c r="Q217" i="21"/>
  <c r="N217" i="21"/>
  <c r="L217" i="21"/>
  <c r="K217" i="21"/>
  <c r="J217" i="21"/>
  <c r="G217" i="21"/>
  <c r="Z216" i="21"/>
  <c r="Y216" i="21"/>
  <c r="X216" i="21"/>
  <c r="U216" i="21"/>
  <c r="S216" i="21"/>
  <c r="R216" i="21"/>
  <c r="Q216" i="21"/>
  <c r="N216" i="21"/>
  <c r="L216" i="21"/>
  <c r="K216" i="21"/>
  <c r="J216" i="21"/>
  <c r="G216" i="21"/>
  <c r="Z215" i="21"/>
  <c r="Y215" i="21"/>
  <c r="X215" i="21"/>
  <c r="U215" i="21"/>
  <c r="S215" i="21"/>
  <c r="R215" i="21"/>
  <c r="Q215" i="21"/>
  <c r="N215" i="21"/>
  <c r="L215" i="21"/>
  <c r="K215" i="21"/>
  <c r="J215" i="21"/>
  <c r="G215" i="21"/>
  <c r="Z214" i="21"/>
  <c r="Y214" i="21"/>
  <c r="X214" i="21"/>
  <c r="U214" i="21"/>
  <c r="S214" i="21"/>
  <c r="R214" i="21"/>
  <c r="Q214" i="21"/>
  <c r="N214" i="21"/>
  <c r="L214" i="21"/>
  <c r="K214" i="21"/>
  <c r="J214" i="21"/>
  <c r="G214" i="21"/>
  <c r="Z213" i="21"/>
  <c r="Y213" i="21"/>
  <c r="X213" i="21"/>
  <c r="U213" i="21"/>
  <c r="S213" i="21"/>
  <c r="R213" i="21"/>
  <c r="Q213" i="21"/>
  <c r="N213" i="21"/>
  <c r="L213" i="21"/>
  <c r="K213" i="21"/>
  <c r="J213" i="21"/>
  <c r="G213" i="21"/>
  <c r="Z212" i="21"/>
  <c r="Y212" i="21"/>
  <c r="X212" i="21"/>
  <c r="U212" i="21"/>
  <c r="S212" i="21"/>
  <c r="Q212" i="21"/>
  <c r="N212" i="21"/>
  <c r="L212" i="21"/>
  <c r="K212" i="21"/>
  <c r="J212" i="21"/>
  <c r="G212" i="21"/>
  <c r="Z211" i="21"/>
  <c r="Y211" i="21"/>
  <c r="X211" i="21"/>
  <c r="U211" i="21"/>
  <c r="S211" i="21"/>
  <c r="R211" i="21"/>
  <c r="Q211" i="21"/>
  <c r="N211" i="21"/>
  <c r="L211" i="21"/>
  <c r="K211" i="21"/>
  <c r="J211" i="21"/>
  <c r="G211" i="21"/>
  <c r="Z203" i="21"/>
  <c r="Y203" i="21"/>
  <c r="X203" i="21"/>
  <c r="U203" i="21"/>
  <c r="S203" i="21"/>
  <c r="R203" i="21"/>
  <c r="Q203" i="21"/>
  <c r="N203" i="21"/>
  <c r="L203" i="21"/>
  <c r="K203" i="21"/>
  <c r="J203" i="21"/>
  <c r="G203" i="21"/>
  <c r="Z202" i="21"/>
  <c r="Y202" i="21"/>
  <c r="X202" i="21"/>
  <c r="U202" i="21"/>
  <c r="S202" i="21"/>
  <c r="R202" i="21"/>
  <c r="Q202" i="21"/>
  <c r="N202" i="21"/>
  <c r="L202" i="21"/>
  <c r="K202" i="21"/>
  <c r="J202" i="21"/>
  <c r="G202" i="21"/>
  <c r="Z201" i="21"/>
  <c r="Y201" i="21"/>
  <c r="X201" i="21"/>
  <c r="U201" i="21"/>
  <c r="S201" i="21"/>
  <c r="R201" i="21"/>
  <c r="Q201" i="21"/>
  <c r="N201" i="21"/>
  <c r="L201" i="21"/>
  <c r="K201" i="21"/>
  <c r="J201" i="21"/>
  <c r="G201" i="21"/>
  <c r="Z200" i="21"/>
  <c r="Y200" i="21"/>
  <c r="X200" i="21"/>
  <c r="U200" i="21"/>
  <c r="S200" i="21"/>
  <c r="R200" i="21"/>
  <c r="Q200" i="21"/>
  <c r="N200" i="21"/>
  <c r="L200" i="21"/>
  <c r="K200" i="21"/>
  <c r="J200" i="21"/>
  <c r="G200" i="21"/>
  <c r="Z199" i="21"/>
  <c r="Y199" i="21"/>
  <c r="X199" i="21"/>
  <c r="U199" i="21"/>
  <c r="S199" i="21"/>
  <c r="R199" i="21"/>
  <c r="Q199" i="21"/>
  <c r="N199" i="21"/>
  <c r="L199" i="21"/>
  <c r="K199" i="21"/>
  <c r="J199" i="21"/>
  <c r="G199" i="21"/>
  <c r="Z198" i="21"/>
  <c r="Y198" i="21"/>
  <c r="X198" i="21"/>
  <c r="U198" i="21"/>
  <c r="S198" i="21"/>
  <c r="R198" i="21"/>
  <c r="Q198" i="21"/>
  <c r="N198" i="21"/>
  <c r="L198" i="21"/>
  <c r="K198" i="21"/>
  <c r="J198" i="21"/>
  <c r="G198" i="21"/>
  <c r="Z197" i="21"/>
  <c r="Y197" i="21"/>
  <c r="X197" i="21"/>
  <c r="U197" i="21"/>
  <c r="S197" i="21"/>
  <c r="R197" i="21"/>
  <c r="Q197" i="21"/>
  <c r="N197" i="21"/>
  <c r="L197" i="21"/>
  <c r="K197" i="21"/>
  <c r="J197" i="21"/>
  <c r="G197" i="21"/>
  <c r="Z196" i="21"/>
  <c r="Y196" i="21"/>
  <c r="X196" i="21"/>
  <c r="U196" i="21"/>
  <c r="S196" i="21"/>
  <c r="R196" i="21"/>
  <c r="Q196" i="21"/>
  <c r="N196" i="21"/>
  <c r="L196" i="21"/>
  <c r="K196" i="21"/>
  <c r="J196" i="21"/>
  <c r="G196" i="21"/>
  <c r="Z195" i="21"/>
  <c r="Y195" i="21"/>
  <c r="X195" i="21"/>
  <c r="U195" i="21"/>
  <c r="S195" i="21"/>
  <c r="R195" i="21"/>
  <c r="Q195" i="21"/>
  <c r="N195" i="21"/>
  <c r="L195" i="21"/>
  <c r="K195" i="21"/>
  <c r="J195" i="21"/>
  <c r="G195" i="21"/>
  <c r="Z194" i="21"/>
  <c r="Y194" i="21"/>
  <c r="X194" i="21"/>
  <c r="U194" i="21"/>
  <c r="S194" i="21"/>
  <c r="R194" i="21"/>
  <c r="Q194" i="21"/>
  <c r="N194" i="21"/>
  <c r="L194" i="21"/>
  <c r="K194" i="21"/>
  <c r="J194" i="21"/>
  <c r="G194" i="21"/>
  <c r="Z182" i="21"/>
  <c r="Y182" i="21"/>
  <c r="X182" i="21"/>
  <c r="U182" i="21"/>
  <c r="S182" i="21"/>
  <c r="R182" i="21"/>
  <c r="Q182" i="21"/>
  <c r="N182" i="21"/>
  <c r="L182" i="21"/>
  <c r="K182" i="21"/>
  <c r="J182" i="21"/>
  <c r="G182" i="21"/>
  <c r="Z181" i="21"/>
  <c r="Y181" i="21"/>
  <c r="X181" i="21"/>
  <c r="U181" i="21"/>
  <c r="S181" i="21"/>
  <c r="R181" i="21"/>
  <c r="Q181" i="21"/>
  <c r="N181" i="21"/>
  <c r="L181" i="21"/>
  <c r="K181" i="21"/>
  <c r="J181" i="21"/>
  <c r="G181" i="21"/>
  <c r="Z180" i="21"/>
  <c r="Y180" i="21"/>
  <c r="X180" i="21"/>
  <c r="U180" i="21"/>
  <c r="S180" i="21"/>
  <c r="R180" i="21"/>
  <c r="Q180" i="21"/>
  <c r="N180" i="21"/>
  <c r="L180" i="21"/>
  <c r="K180" i="21"/>
  <c r="J180" i="21"/>
  <c r="G180" i="21"/>
  <c r="Z179" i="21"/>
  <c r="Y179" i="21"/>
  <c r="X179" i="21"/>
  <c r="U179" i="21"/>
  <c r="S179" i="21"/>
  <c r="R179" i="21"/>
  <c r="Q179" i="21"/>
  <c r="N179" i="21"/>
  <c r="L179" i="21"/>
  <c r="K179" i="21"/>
  <c r="J179" i="21"/>
  <c r="G179" i="21"/>
  <c r="Z178" i="21"/>
  <c r="Y178" i="21"/>
  <c r="X178" i="21"/>
  <c r="U178" i="21"/>
  <c r="S178" i="21"/>
  <c r="R178" i="21"/>
  <c r="Q178" i="21"/>
  <c r="N178" i="21"/>
  <c r="L178" i="21"/>
  <c r="K178" i="21"/>
  <c r="J178" i="21"/>
  <c r="G178" i="21"/>
  <c r="Z177" i="21"/>
  <c r="Y177" i="21"/>
  <c r="X177" i="21"/>
  <c r="U177" i="21"/>
  <c r="S177" i="21"/>
  <c r="R177" i="21"/>
  <c r="Q177" i="21"/>
  <c r="N177" i="21"/>
  <c r="L177" i="21"/>
  <c r="K177" i="21"/>
  <c r="J177" i="21"/>
  <c r="G177" i="21"/>
  <c r="Z176" i="21"/>
  <c r="Y176" i="21"/>
  <c r="X176" i="21"/>
  <c r="U176" i="21"/>
  <c r="S176" i="21"/>
  <c r="R176" i="21"/>
  <c r="Q176" i="21"/>
  <c r="N176" i="21"/>
  <c r="L176" i="21"/>
  <c r="K176" i="21"/>
  <c r="J176" i="21"/>
  <c r="G176" i="21"/>
  <c r="Z175" i="21"/>
  <c r="Y175" i="21"/>
  <c r="X175" i="21"/>
  <c r="U175" i="21"/>
  <c r="S175" i="21"/>
  <c r="R175" i="21"/>
  <c r="Q175" i="21"/>
  <c r="N175" i="21"/>
  <c r="L175" i="21"/>
  <c r="K175" i="21"/>
  <c r="J175" i="21"/>
  <c r="G175" i="21"/>
  <c r="Z174" i="21"/>
  <c r="Y174" i="21"/>
  <c r="X174" i="21"/>
  <c r="U174" i="21"/>
  <c r="S174" i="21"/>
  <c r="R174" i="21"/>
  <c r="Q174" i="21"/>
  <c r="N174" i="21"/>
  <c r="L174" i="21"/>
  <c r="K174" i="21"/>
  <c r="J174" i="21"/>
  <c r="G174" i="21"/>
  <c r="Z173" i="21"/>
  <c r="Y173" i="21"/>
  <c r="X173" i="21"/>
  <c r="U173" i="21"/>
  <c r="S173" i="21"/>
  <c r="R173" i="21"/>
  <c r="Q173" i="21"/>
  <c r="N173" i="21"/>
  <c r="L173" i="21"/>
  <c r="K173" i="21"/>
  <c r="J173" i="21"/>
  <c r="G173" i="21"/>
  <c r="Z172" i="21"/>
  <c r="Y172" i="21"/>
  <c r="X172" i="21"/>
  <c r="U172" i="21"/>
  <c r="S172" i="21"/>
  <c r="R172" i="21"/>
  <c r="Q172" i="21"/>
  <c r="N172" i="21"/>
  <c r="L172" i="21"/>
  <c r="K172" i="21"/>
  <c r="J172" i="21"/>
  <c r="G172" i="21"/>
  <c r="Z171" i="21"/>
  <c r="Y171" i="21"/>
  <c r="X171" i="21"/>
  <c r="U171" i="21"/>
  <c r="S171" i="21"/>
  <c r="R171" i="21"/>
  <c r="Q171" i="21"/>
  <c r="N171" i="21"/>
  <c r="L171" i="21"/>
  <c r="K171" i="21"/>
  <c r="J171" i="21"/>
  <c r="G171" i="21"/>
  <c r="Z170" i="21"/>
  <c r="Y170" i="21"/>
  <c r="X170" i="21"/>
  <c r="U170" i="21"/>
  <c r="S170" i="21"/>
  <c r="R170" i="21"/>
  <c r="Q170" i="21"/>
  <c r="N170" i="21"/>
  <c r="L170" i="21"/>
  <c r="K170" i="21"/>
  <c r="J170" i="21"/>
  <c r="G170" i="21"/>
  <c r="Z169" i="21"/>
  <c r="Y169" i="21"/>
  <c r="X169" i="21"/>
  <c r="U169" i="21"/>
  <c r="S169" i="21"/>
  <c r="R169" i="21"/>
  <c r="Q169" i="21"/>
  <c r="N169" i="21"/>
  <c r="L169" i="21"/>
  <c r="K169" i="21"/>
  <c r="J169" i="21"/>
  <c r="G169" i="21"/>
  <c r="Z168" i="21"/>
  <c r="Y168" i="21"/>
  <c r="X168" i="21"/>
  <c r="U168" i="21"/>
  <c r="S168" i="21"/>
  <c r="R168" i="21"/>
  <c r="Q168" i="21"/>
  <c r="N168" i="21"/>
  <c r="L168" i="21"/>
  <c r="K168" i="21"/>
  <c r="J168" i="21"/>
  <c r="G168" i="21"/>
  <c r="Z167" i="21"/>
  <c r="Y167" i="21"/>
  <c r="X167" i="21"/>
  <c r="U167" i="21"/>
  <c r="S167" i="21"/>
  <c r="R167" i="21"/>
  <c r="Q167" i="21"/>
  <c r="N167" i="21"/>
  <c r="L167" i="21"/>
  <c r="K167" i="21"/>
  <c r="J167" i="21"/>
  <c r="G167" i="21"/>
  <c r="Z166" i="21"/>
  <c r="Y166" i="21"/>
  <c r="X166" i="21"/>
  <c r="U166" i="21"/>
  <c r="S166" i="21"/>
  <c r="R166" i="21"/>
  <c r="Q166" i="21"/>
  <c r="N166" i="21"/>
  <c r="L166" i="21"/>
  <c r="K166" i="21"/>
  <c r="J166" i="21"/>
  <c r="G166" i="21"/>
  <c r="Z165" i="21"/>
  <c r="Y165" i="21"/>
  <c r="X165" i="21"/>
  <c r="U165" i="21"/>
  <c r="S165" i="21"/>
  <c r="R165" i="21"/>
  <c r="Q165" i="21"/>
  <c r="N165" i="21"/>
  <c r="L165" i="21"/>
  <c r="K165" i="21"/>
  <c r="J165" i="21"/>
  <c r="G165" i="21"/>
  <c r="Z164" i="21"/>
  <c r="Y164" i="21"/>
  <c r="X164" i="21"/>
  <c r="U164" i="21"/>
  <c r="S164" i="21"/>
  <c r="R164" i="21"/>
  <c r="Q164" i="21"/>
  <c r="N164" i="21"/>
  <c r="L164" i="21"/>
  <c r="K164" i="21"/>
  <c r="J164" i="21"/>
  <c r="G164" i="21"/>
  <c r="Z163" i="21"/>
  <c r="Y163" i="21"/>
  <c r="X163" i="21"/>
  <c r="U163" i="21"/>
  <c r="S163" i="21"/>
  <c r="R163" i="21"/>
  <c r="Q163" i="21"/>
  <c r="N163" i="21"/>
  <c r="L163" i="21"/>
  <c r="K163" i="21"/>
  <c r="J163" i="21"/>
  <c r="G163" i="21"/>
  <c r="Z150" i="21"/>
  <c r="Y150" i="21"/>
  <c r="X150" i="21"/>
  <c r="U150" i="21"/>
  <c r="S150" i="21"/>
  <c r="R150" i="21"/>
  <c r="Q150" i="21"/>
  <c r="N150" i="21"/>
  <c r="L150" i="21"/>
  <c r="K150" i="21"/>
  <c r="J150" i="21"/>
  <c r="G150" i="21"/>
  <c r="Z149" i="21"/>
  <c r="Y149" i="21"/>
  <c r="X149" i="21"/>
  <c r="U149" i="21"/>
  <c r="S149" i="21"/>
  <c r="R149" i="21"/>
  <c r="Q149" i="21"/>
  <c r="N149" i="21"/>
  <c r="L149" i="21"/>
  <c r="K149" i="21"/>
  <c r="J149" i="21"/>
  <c r="G149" i="21"/>
  <c r="Z148" i="21"/>
  <c r="Y148" i="21"/>
  <c r="X148" i="21"/>
  <c r="U148" i="21"/>
  <c r="S148" i="21"/>
  <c r="R148" i="21"/>
  <c r="Q148" i="21"/>
  <c r="N148" i="21"/>
  <c r="L148" i="21"/>
  <c r="K148" i="21"/>
  <c r="J148" i="21"/>
  <c r="G148" i="21"/>
  <c r="Z142" i="21"/>
  <c r="Y142" i="21"/>
  <c r="X142" i="21"/>
  <c r="U142" i="21"/>
  <c r="S142" i="21"/>
  <c r="R142" i="21"/>
  <c r="Q142" i="21"/>
  <c r="N142" i="21"/>
  <c r="L142" i="21"/>
  <c r="K142" i="21"/>
  <c r="J142" i="21"/>
  <c r="G142" i="21"/>
  <c r="Z141" i="21"/>
  <c r="Y141" i="21"/>
  <c r="X141" i="21"/>
  <c r="U141" i="21"/>
  <c r="S141" i="21"/>
  <c r="R141" i="21"/>
  <c r="Q141" i="21"/>
  <c r="N141" i="21"/>
  <c r="L141" i="21"/>
  <c r="K141" i="21"/>
  <c r="J141" i="21"/>
  <c r="G141" i="21"/>
  <c r="Z140" i="21"/>
  <c r="Y140" i="21"/>
  <c r="X140" i="21"/>
  <c r="U140" i="21"/>
  <c r="S140" i="21"/>
  <c r="R140" i="21"/>
  <c r="Q140" i="21"/>
  <c r="N140" i="21"/>
  <c r="L140" i="21"/>
  <c r="K140" i="21"/>
  <c r="J140" i="21"/>
  <c r="G140" i="21"/>
  <c r="Z139" i="21"/>
  <c r="Y139" i="21"/>
  <c r="X139" i="21"/>
  <c r="U139" i="21"/>
  <c r="S139" i="21"/>
  <c r="R139" i="21"/>
  <c r="Q139" i="21"/>
  <c r="N139" i="21"/>
  <c r="L139" i="21"/>
  <c r="K139" i="21"/>
  <c r="J139" i="21"/>
  <c r="G139" i="21"/>
  <c r="Z138" i="21"/>
  <c r="Y138" i="21"/>
  <c r="X138" i="21"/>
  <c r="U138" i="21"/>
  <c r="S138" i="21"/>
  <c r="R138" i="21"/>
  <c r="Q138" i="21"/>
  <c r="N138" i="21"/>
  <c r="L138" i="21"/>
  <c r="K138" i="21"/>
  <c r="J138" i="21"/>
  <c r="G138" i="21"/>
  <c r="Z137" i="21"/>
  <c r="Y137" i="21"/>
  <c r="X137" i="21"/>
  <c r="U137" i="21"/>
  <c r="S137" i="21"/>
  <c r="R137" i="21"/>
  <c r="Q137" i="21"/>
  <c r="N137" i="21"/>
  <c r="L137" i="21"/>
  <c r="K137" i="21"/>
  <c r="J137" i="21"/>
  <c r="G137" i="21"/>
  <c r="Z136" i="21"/>
  <c r="Y136" i="21"/>
  <c r="X136" i="21"/>
  <c r="U136" i="21"/>
  <c r="S136" i="21"/>
  <c r="R136" i="21"/>
  <c r="Q136" i="21"/>
  <c r="N136" i="21"/>
  <c r="L136" i="21"/>
  <c r="K136" i="21"/>
  <c r="J136" i="21"/>
  <c r="G136" i="21"/>
  <c r="Z135" i="21"/>
  <c r="Y135" i="21"/>
  <c r="X135" i="21"/>
  <c r="U135" i="21"/>
  <c r="S135" i="21"/>
  <c r="R135" i="21"/>
  <c r="Q135" i="21"/>
  <c r="N135" i="21"/>
  <c r="L135" i="21"/>
  <c r="K135" i="21"/>
  <c r="J135" i="21"/>
  <c r="G135" i="21"/>
  <c r="Z134" i="21"/>
  <c r="Y134" i="21"/>
  <c r="X134" i="21"/>
  <c r="U134" i="21"/>
  <c r="S134" i="21"/>
  <c r="R134" i="21"/>
  <c r="Q134" i="21"/>
  <c r="N134" i="21"/>
  <c r="L134" i="21"/>
  <c r="K134" i="21"/>
  <c r="J134" i="21"/>
  <c r="G134" i="21"/>
  <c r="Z133" i="21"/>
  <c r="Y133" i="21"/>
  <c r="X133" i="21"/>
  <c r="U133" i="21"/>
  <c r="S133" i="21"/>
  <c r="R133" i="21"/>
  <c r="Q133" i="21"/>
  <c r="N133" i="21"/>
  <c r="L133" i="21"/>
  <c r="K133" i="21"/>
  <c r="J133" i="21"/>
  <c r="G133" i="21"/>
  <c r="Z132" i="21"/>
  <c r="Y132" i="21"/>
  <c r="X132" i="21"/>
  <c r="U132" i="21"/>
  <c r="S132" i="21"/>
  <c r="R132" i="21"/>
  <c r="Q132" i="21"/>
  <c r="N132" i="21"/>
  <c r="L132" i="21"/>
  <c r="K132" i="21"/>
  <c r="J132" i="21"/>
  <c r="G132" i="21"/>
  <c r="Z131" i="21"/>
  <c r="Y131" i="21"/>
  <c r="X131" i="21"/>
  <c r="U131" i="21"/>
  <c r="S131" i="21"/>
  <c r="R131" i="21"/>
  <c r="Q131" i="21"/>
  <c r="N131" i="21"/>
  <c r="L131" i="21"/>
  <c r="K131" i="21"/>
  <c r="J131" i="21"/>
  <c r="G131" i="21"/>
  <c r="Z130" i="21"/>
  <c r="Y130" i="21"/>
  <c r="X130" i="21"/>
  <c r="U130" i="21"/>
  <c r="S130" i="21"/>
  <c r="R130" i="21"/>
  <c r="Q130" i="21"/>
  <c r="N130" i="21"/>
  <c r="L130" i="21"/>
  <c r="K130" i="21"/>
  <c r="J130" i="21"/>
  <c r="G130" i="21"/>
  <c r="Z129" i="21"/>
  <c r="Y129" i="21"/>
  <c r="X129" i="21"/>
  <c r="U129" i="21"/>
  <c r="S129" i="21"/>
  <c r="R129" i="21"/>
  <c r="Q129" i="21"/>
  <c r="N129" i="21"/>
  <c r="L129" i="21"/>
  <c r="K129" i="21"/>
  <c r="J129" i="21"/>
  <c r="G129" i="21"/>
  <c r="Z128" i="21"/>
  <c r="Y128" i="21"/>
  <c r="X128" i="21"/>
  <c r="U128" i="21"/>
  <c r="S128" i="21"/>
  <c r="R128" i="21"/>
  <c r="Q128" i="21"/>
  <c r="N128" i="21"/>
  <c r="L128" i="21"/>
  <c r="K128" i="21"/>
  <c r="J128" i="21"/>
  <c r="G128" i="21"/>
  <c r="Z127" i="21"/>
  <c r="Y127" i="21"/>
  <c r="X127" i="21"/>
  <c r="U127" i="21"/>
  <c r="S127" i="21"/>
  <c r="R127" i="21"/>
  <c r="Q127" i="21"/>
  <c r="N127" i="21"/>
  <c r="L127" i="21"/>
  <c r="K127" i="21"/>
  <c r="J127" i="21"/>
  <c r="G127" i="21"/>
  <c r="Z126" i="21"/>
  <c r="Y126" i="21"/>
  <c r="X126" i="21"/>
  <c r="U126" i="21"/>
  <c r="S126" i="21"/>
  <c r="R126" i="21"/>
  <c r="Q126" i="21"/>
  <c r="N126" i="21"/>
  <c r="L126" i="21"/>
  <c r="K126" i="21"/>
  <c r="J126" i="21"/>
  <c r="G126" i="21"/>
  <c r="Z125" i="21"/>
  <c r="Y125" i="21"/>
  <c r="X125" i="21"/>
  <c r="U125" i="21"/>
  <c r="S125" i="21"/>
  <c r="R125" i="21"/>
  <c r="Q125" i="21"/>
  <c r="N125" i="21"/>
  <c r="L125" i="21"/>
  <c r="K125" i="21"/>
  <c r="J125" i="21"/>
  <c r="G125" i="21"/>
  <c r="Z124" i="21"/>
  <c r="Y124" i="21"/>
  <c r="X124" i="21"/>
  <c r="U124" i="21"/>
  <c r="S124" i="21"/>
  <c r="R124" i="21"/>
  <c r="Q124" i="21"/>
  <c r="N124" i="21"/>
  <c r="L124" i="21"/>
  <c r="K124" i="21"/>
  <c r="J124" i="21"/>
  <c r="G124" i="21"/>
  <c r="Z123" i="21"/>
  <c r="Y123" i="21"/>
  <c r="X123" i="21"/>
  <c r="U123" i="21"/>
  <c r="S123" i="21"/>
  <c r="R123" i="21"/>
  <c r="Q123" i="21"/>
  <c r="N123" i="21"/>
  <c r="L123" i="21"/>
  <c r="K123" i="21"/>
  <c r="J123" i="21"/>
  <c r="G123" i="21"/>
  <c r="Z122" i="21"/>
  <c r="Y122" i="21"/>
  <c r="X122" i="21"/>
  <c r="U122" i="21"/>
  <c r="S122" i="21"/>
  <c r="R122" i="21"/>
  <c r="Q122" i="21"/>
  <c r="N122" i="21"/>
  <c r="L122" i="21"/>
  <c r="K122" i="21"/>
  <c r="J122" i="21"/>
  <c r="G122" i="21"/>
  <c r="Z121" i="21"/>
  <c r="Y121" i="21"/>
  <c r="X121" i="21"/>
  <c r="U121" i="21"/>
  <c r="S121" i="21"/>
  <c r="R121" i="21"/>
  <c r="Q121" i="21"/>
  <c r="N121" i="21"/>
  <c r="L121" i="21"/>
  <c r="K121" i="21"/>
  <c r="J121" i="21"/>
  <c r="G121" i="21"/>
  <c r="Z120" i="21"/>
  <c r="Y120" i="21"/>
  <c r="X120" i="21"/>
  <c r="U120" i="21"/>
  <c r="S120" i="21"/>
  <c r="R120" i="21"/>
  <c r="Q120" i="21"/>
  <c r="N120" i="21"/>
  <c r="L120" i="21"/>
  <c r="K120" i="21"/>
  <c r="J120" i="21"/>
  <c r="G120" i="21"/>
  <c r="Z119" i="21"/>
  <c r="Y119" i="21"/>
  <c r="X119" i="21"/>
  <c r="U119" i="21"/>
  <c r="S119" i="21"/>
  <c r="R119" i="21"/>
  <c r="Q119" i="21"/>
  <c r="N119" i="21"/>
  <c r="L119" i="21"/>
  <c r="K119" i="21"/>
  <c r="J119" i="21"/>
  <c r="G119" i="21"/>
  <c r="Z118" i="21"/>
  <c r="Y118" i="21"/>
  <c r="X118" i="21"/>
  <c r="U118" i="21"/>
  <c r="S118" i="21"/>
  <c r="R118" i="21"/>
  <c r="Q118" i="21"/>
  <c r="N118" i="21"/>
  <c r="L118" i="21"/>
  <c r="K118" i="21"/>
  <c r="J118" i="21"/>
  <c r="G118" i="21"/>
  <c r="Z113" i="21"/>
  <c r="Y113" i="21"/>
  <c r="X113" i="21"/>
  <c r="U113" i="21"/>
  <c r="S113" i="21"/>
  <c r="R113" i="21"/>
  <c r="Q113" i="21"/>
  <c r="N113" i="21"/>
  <c r="L113" i="21"/>
  <c r="K113" i="21"/>
  <c r="J113" i="21"/>
  <c r="G113" i="21"/>
  <c r="Z112" i="21"/>
  <c r="Y112" i="21"/>
  <c r="X112" i="21"/>
  <c r="U112" i="21"/>
  <c r="S112" i="21"/>
  <c r="R112" i="21"/>
  <c r="Q112" i="21"/>
  <c r="N112" i="21"/>
  <c r="L112" i="21"/>
  <c r="K112" i="21"/>
  <c r="J112" i="21"/>
  <c r="G112" i="21"/>
  <c r="Z111" i="21"/>
  <c r="Y111" i="21"/>
  <c r="X111" i="21"/>
  <c r="U111" i="21"/>
  <c r="S111" i="21"/>
  <c r="R111" i="21"/>
  <c r="Q111" i="21"/>
  <c r="N111" i="21"/>
  <c r="L111" i="21"/>
  <c r="K111" i="21"/>
  <c r="J111" i="21"/>
  <c r="G111" i="21"/>
  <c r="Z110" i="21"/>
  <c r="Y110" i="21"/>
  <c r="X110" i="21"/>
  <c r="U110" i="21"/>
  <c r="S110" i="21"/>
  <c r="R110" i="21"/>
  <c r="Q110" i="21"/>
  <c r="N110" i="21"/>
  <c r="L110" i="21"/>
  <c r="K110" i="21"/>
  <c r="J110" i="21"/>
  <c r="G110" i="21"/>
  <c r="Z109" i="21"/>
  <c r="Y109" i="21"/>
  <c r="X109" i="21"/>
  <c r="U109" i="21"/>
  <c r="S109" i="21"/>
  <c r="R109" i="21"/>
  <c r="Q109" i="21"/>
  <c r="N109" i="21"/>
  <c r="L109" i="21"/>
  <c r="K109" i="21"/>
  <c r="J109" i="21"/>
  <c r="G109" i="21"/>
  <c r="Z108" i="21"/>
  <c r="Y108" i="21"/>
  <c r="X108" i="21"/>
  <c r="U108" i="21"/>
  <c r="S108" i="21"/>
  <c r="R108" i="21"/>
  <c r="Q108" i="21"/>
  <c r="N108" i="21"/>
  <c r="L108" i="21"/>
  <c r="K108" i="21"/>
  <c r="J108" i="21"/>
  <c r="G108" i="21"/>
  <c r="Z107" i="21"/>
  <c r="Y107" i="21"/>
  <c r="X107" i="21"/>
  <c r="U107" i="21"/>
  <c r="S107" i="21"/>
  <c r="R107" i="21"/>
  <c r="Q107" i="21"/>
  <c r="N107" i="21"/>
  <c r="L107" i="21"/>
  <c r="K107" i="21"/>
  <c r="J107" i="21"/>
  <c r="G107" i="21"/>
  <c r="Z106" i="21"/>
  <c r="Y106" i="21"/>
  <c r="X106" i="21"/>
  <c r="U106" i="21"/>
  <c r="S106" i="21"/>
  <c r="R106" i="21"/>
  <c r="Q106" i="21"/>
  <c r="N106" i="21"/>
  <c r="L106" i="21"/>
  <c r="K106" i="21"/>
  <c r="J106" i="21"/>
  <c r="G106" i="21"/>
  <c r="Z105" i="21"/>
  <c r="Y105" i="21"/>
  <c r="X105" i="21"/>
  <c r="U105" i="21"/>
  <c r="S105" i="21"/>
  <c r="R105" i="21"/>
  <c r="Q105" i="21"/>
  <c r="N105" i="21"/>
  <c r="L105" i="21"/>
  <c r="K105" i="21"/>
  <c r="J105" i="21"/>
  <c r="G105" i="21"/>
  <c r="Z104" i="21"/>
  <c r="Y104" i="21"/>
  <c r="X104" i="21"/>
  <c r="U104" i="21"/>
  <c r="S104" i="21"/>
  <c r="R104" i="21"/>
  <c r="Q104" i="21"/>
  <c r="N104" i="21"/>
  <c r="L104" i="21"/>
  <c r="K104" i="21"/>
  <c r="J104" i="21"/>
  <c r="G104" i="21"/>
  <c r="Z100" i="21"/>
  <c r="Y100" i="21"/>
  <c r="X100" i="21"/>
  <c r="U100" i="21"/>
  <c r="S100" i="21"/>
  <c r="R100" i="21"/>
  <c r="Q100" i="21"/>
  <c r="N100" i="21"/>
  <c r="L100" i="21"/>
  <c r="K100" i="21"/>
  <c r="J100" i="21"/>
  <c r="G100" i="21"/>
  <c r="Z99" i="21"/>
  <c r="Y99" i="21"/>
  <c r="X99" i="21"/>
  <c r="U99" i="21"/>
  <c r="S99" i="21"/>
  <c r="R99" i="21"/>
  <c r="Q99" i="21"/>
  <c r="N99" i="21"/>
  <c r="L99" i="21"/>
  <c r="K99" i="21"/>
  <c r="J99" i="21"/>
  <c r="G99" i="21"/>
  <c r="Z98" i="21"/>
  <c r="Y98" i="21"/>
  <c r="X98" i="21"/>
  <c r="U98" i="21"/>
  <c r="S98" i="21"/>
  <c r="R98" i="21"/>
  <c r="Q98" i="21"/>
  <c r="N98" i="21"/>
  <c r="L98" i="21"/>
  <c r="K98" i="21"/>
  <c r="J98" i="21"/>
  <c r="G98" i="21"/>
  <c r="Z97" i="21"/>
  <c r="Y97" i="21"/>
  <c r="X97" i="21"/>
  <c r="U97" i="21"/>
  <c r="S97" i="21"/>
  <c r="R97" i="21"/>
  <c r="Q97" i="21"/>
  <c r="N97" i="21"/>
  <c r="L97" i="21"/>
  <c r="K97" i="21"/>
  <c r="J97" i="21"/>
  <c r="G97" i="21"/>
  <c r="Z96" i="21"/>
  <c r="Y96" i="21"/>
  <c r="X96" i="21"/>
  <c r="U96" i="21"/>
  <c r="S96" i="21"/>
  <c r="R96" i="21"/>
  <c r="Q96" i="21"/>
  <c r="N96" i="21"/>
  <c r="L96" i="21"/>
  <c r="K96" i="21"/>
  <c r="J96" i="21"/>
  <c r="G96" i="21"/>
  <c r="Z95" i="21"/>
  <c r="Y95" i="21"/>
  <c r="X95" i="21"/>
  <c r="U95" i="21"/>
  <c r="S95" i="21"/>
  <c r="R95" i="21"/>
  <c r="Q95" i="21"/>
  <c r="N95" i="21"/>
  <c r="L95" i="21"/>
  <c r="K95" i="21"/>
  <c r="J95" i="21"/>
  <c r="G95" i="21"/>
  <c r="Z91" i="21"/>
  <c r="Y91" i="21"/>
  <c r="X91" i="21"/>
  <c r="U91" i="21"/>
  <c r="S91" i="21"/>
  <c r="R91" i="21"/>
  <c r="Q91" i="21"/>
  <c r="N91" i="21"/>
  <c r="L91" i="21"/>
  <c r="K91" i="21"/>
  <c r="J91" i="21"/>
  <c r="G91" i="21"/>
  <c r="Z90" i="21"/>
  <c r="Y90" i="21"/>
  <c r="X90" i="21"/>
  <c r="U90" i="21"/>
  <c r="S90" i="21"/>
  <c r="R90" i="21"/>
  <c r="Q90" i="21"/>
  <c r="N90" i="21"/>
  <c r="L90" i="21"/>
  <c r="K90" i="21"/>
  <c r="J90" i="21"/>
  <c r="G90" i="21"/>
  <c r="Z89" i="21"/>
  <c r="Y89" i="21"/>
  <c r="X89" i="21"/>
  <c r="U89" i="21"/>
  <c r="S89" i="21"/>
  <c r="R89" i="21"/>
  <c r="Q89" i="21"/>
  <c r="N89" i="21"/>
  <c r="L89" i="21"/>
  <c r="K89" i="21"/>
  <c r="J89" i="21"/>
  <c r="G89" i="21"/>
  <c r="Z88" i="21"/>
  <c r="Y88" i="21"/>
  <c r="X88" i="21"/>
  <c r="U88" i="21"/>
  <c r="S88" i="21"/>
  <c r="R88" i="21"/>
  <c r="Q88" i="21"/>
  <c r="N88" i="21"/>
  <c r="L88" i="21"/>
  <c r="K88" i="21"/>
  <c r="J88" i="21"/>
  <c r="G88" i="21"/>
  <c r="Z87" i="21"/>
  <c r="Y87" i="21"/>
  <c r="X87" i="21"/>
  <c r="U87" i="21"/>
  <c r="S87" i="21"/>
  <c r="R87" i="21"/>
  <c r="Q87" i="21"/>
  <c r="N87" i="21"/>
  <c r="L87" i="21"/>
  <c r="K87" i="21"/>
  <c r="J87" i="21"/>
  <c r="G87" i="21"/>
  <c r="Z86" i="21"/>
  <c r="Y86" i="21"/>
  <c r="X86" i="21"/>
  <c r="U86" i="21"/>
  <c r="S86" i="21"/>
  <c r="R86" i="21"/>
  <c r="Q86" i="21"/>
  <c r="N86" i="21"/>
  <c r="L86" i="21"/>
  <c r="K86" i="21"/>
  <c r="J86" i="21"/>
  <c r="G86" i="21"/>
  <c r="Z85" i="21"/>
  <c r="Y85" i="21"/>
  <c r="X85" i="21"/>
  <c r="U85" i="21"/>
  <c r="S85" i="21"/>
  <c r="R85" i="21"/>
  <c r="Q85" i="21"/>
  <c r="N85" i="21"/>
  <c r="L85" i="21"/>
  <c r="K85" i="21"/>
  <c r="J85" i="21"/>
  <c r="G85" i="21"/>
  <c r="Z84" i="21"/>
  <c r="Y84" i="21"/>
  <c r="X84" i="21"/>
  <c r="U84" i="21"/>
  <c r="S84" i="21"/>
  <c r="R84" i="21"/>
  <c r="Q84" i="21"/>
  <c r="N84" i="21"/>
  <c r="L84" i="21"/>
  <c r="K84" i="21"/>
  <c r="J84" i="21"/>
  <c r="G84" i="21"/>
  <c r="Z83" i="21"/>
  <c r="Y83" i="21"/>
  <c r="X83" i="21"/>
  <c r="U83" i="21"/>
  <c r="S83" i="21"/>
  <c r="R83" i="21"/>
  <c r="Q83" i="21"/>
  <c r="N83" i="21"/>
  <c r="L83" i="21"/>
  <c r="K83" i="21"/>
  <c r="J83" i="21"/>
  <c r="G83" i="21"/>
  <c r="Z82" i="21"/>
  <c r="Y82" i="21"/>
  <c r="X82" i="21"/>
  <c r="U82" i="21"/>
  <c r="S82" i="21"/>
  <c r="R82" i="21"/>
  <c r="Q82" i="21"/>
  <c r="N82" i="21"/>
  <c r="L82" i="21"/>
  <c r="K82" i="21"/>
  <c r="J82" i="21"/>
  <c r="G82" i="21"/>
  <c r="Z81" i="21"/>
  <c r="Y81" i="21"/>
  <c r="X81" i="21"/>
  <c r="U81" i="21"/>
  <c r="S81" i="21"/>
  <c r="R81" i="21"/>
  <c r="Q81" i="21"/>
  <c r="N81" i="21"/>
  <c r="L81" i="21"/>
  <c r="K81" i="21"/>
  <c r="J81" i="21"/>
  <c r="G81" i="21"/>
  <c r="Z80" i="21"/>
  <c r="Y80" i="21"/>
  <c r="X80" i="21"/>
  <c r="U80" i="21"/>
  <c r="S80" i="21"/>
  <c r="R80" i="21"/>
  <c r="Q80" i="21"/>
  <c r="N80" i="21"/>
  <c r="L80" i="21"/>
  <c r="K80" i="21"/>
  <c r="J80" i="21"/>
  <c r="G80" i="21"/>
  <c r="Z79" i="21"/>
  <c r="Y79" i="21"/>
  <c r="X79" i="21"/>
  <c r="U79" i="21"/>
  <c r="S79" i="21"/>
  <c r="R79" i="21"/>
  <c r="Q79" i="21"/>
  <c r="N79" i="21"/>
  <c r="L79" i="21"/>
  <c r="K79" i="21"/>
  <c r="J79" i="21"/>
  <c r="G79" i="21"/>
  <c r="Z78" i="21"/>
  <c r="Y78" i="21"/>
  <c r="X78" i="21"/>
  <c r="U78" i="21"/>
  <c r="S78" i="21"/>
  <c r="R78" i="21"/>
  <c r="Q78" i="21"/>
  <c r="N78" i="21"/>
  <c r="L78" i="21"/>
  <c r="K78" i="21"/>
  <c r="J78" i="21"/>
  <c r="G78" i="21"/>
  <c r="Z77" i="21"/>
  <c r="Y77" i="21"/>
  <c r="X77" i="21"/>
  <c r="U77" i="21"/>
  <c r="S77" i="21"/>
  <c r="R77" i="21"/>
  <c r="Q77" i="21"/>
  <c r="N77" i="21"/>
  <c r="L77" i="21"/>
  <c r="K77" i="21"/>
  <c r="J77" i="21"/>
  <c r="G77" i="21"/>
  <c r="Z76" i="21"/>
  <c r="Y76" i="21"/>
  <c r="X76" i="21"/>
  <c r="U76" i="21"/>
  <c r="S76" i="21"/>
  <c r="R76" i="21"/>
  <c r="Q76" i="21"/>
  <c r="N76" i="21"/>
  <c r="L76" i="21"/>
  <c r="K76" i="21"/>
  <c r="J76" i="21"/>
  <c r="G76" i="21"/>
  <c r="Z75" i="21"/>
  <c r="Y75" i="21"/>
  <c r="X75" i="21"/>
  <c r="U75" i="21"/>
  <c r="S75" i="21"/>
  <c r="R75" i="21"/>
  <c r="Q75" i="21"/>
  <c r="N75" i="21"/>
  <c r="L75" i="21"/>
  <c r="K75" i="21"/>
  <c r="J75" i="21"/>
  <c r="G75" i="21"/>
  <c r="Z74" i="21"/>
  <c r="Y74" i="21"/>
  <c r="X74" i="21"/>
  <c r="U74" i="21"/>
  <c r="S74" i="21"/>
  <c r="R74" i="21"/>
  <c r="Q74" i="21"/>
  <c r="N74" i="21"/>
  <c r="L74" i="21"/>
  <c r="K74" i="21"/>
  <c r="J74" i="21"/>
  <c r="G74" i="21"/>
  <c r="Z73" i="21"/>
  <c r="Y73" i="21"/>
  <c r="X73" i="21"/>
  <c r="U73" i="21"/>
  <c r="S73" i="21"/>
  <c r="R73" i="21"/>
  <c r="Q73" i="21"/>
  <c r="N73" i="21"/>
  <c r="L73" i="21"/>
  <c r="K73" i="21"/>
  <c r="J73" i="21"/>
  <c r="G73" i="21"/>
  <c r="Z72" i="21"/>
  <c r="Y72" i="21"/>
  <c r="X72" i="21"/>
  <c r="U72" i="21"/>
  <c r="S72" i="21"/>
  <c r="R72" i="21"/>
  <c r="Q72" i="21"/>
  <c r="N72" i="21"/>
  <c r="L72" i="21"/>
  <c r="K72" i="21"/>
  <c r="J72" i="21"/>
  <c r="G72" i="21"/>
  <c r="Z70" i="21"/>
  <c r="Y70" i="21"/>
  <c r="X70" i="21"/>
  <c r="U70" i="21"/>
  <c r="S70" i="21"/>
  <c r="R70" i="21"/>
  <c r="Q70" i="21"/>
  <c r="N70" i="21"/>
  <c r="L70" i="21"/>
  <c r="K70" i="21"/>
  <c r="J70" i="21"/>
  <c r="G70" i="21"/>
  <c r="Z69" i="21"/>
  <c r="Y69" i="21"/>
  <c r="X69" i="21"/>
  <c r="U69" i="21"/>
  <c r="S69" i="21"/>
  <c r="R69" i="21"/>
  <c r="Q69" i="21"/>
  <c r="N69" i="21"/>
  <c r="L69" i="21"/>
  <c r="K69" i="21"/>
  <c r="J69" i="21"/>
  <c r="G69" i="21"/>
  <c r="Z68" i="21"/>
  <c r="Y68" i="21"/>
  <c r="X68" i="21"/>
  <c r="U68" i="21"/>
  <c r="S68" i="21"/>
  <c r="R68" i="21"/>
  <c r="Q68" i="21"/>
  <c r="N68" i="21"/>
  <c r="L68" i="21"/>
  <c r="K68" i="21"/>
  <c r="J68" i="21"/>
  <c r="G68" i="21"/>
  <c r="Z67" i="21"/>
  <c r="Y67" i="21"/>
  <c r="X67" i="21"/>
  <c r="U67" i="21"/>
  <c r="S67" i="21"/>
  <c r="R67" i="21"/>
  <c r="Q67" i="21"/>
  <c r="N67" i="21"/>
  <c r="L67" i="21"/>
  <c r="K67" i="21"/>
  <c r="J67" i="21"/>
  <c r="G67" i="21"/>
  <c r="Z66" i="21"/>
  <c r="Y66" i="21"/>
  <c r="X66" i="21"/>
  <c r="U66" i="21"/>
  <c r="S66" i="21"/>
  <c r="R66" i="21"/>
  <c r="Q66" i="21"/>
  <c r="N66" i="21"/>
  <c r="L66" i="21"/>
  <c r="K66" i="21"/>
  <c r="J66" i="21"/>
  <c r="G66" i="21"/>
  <c r="Z62" i="21"/>
  <c r="Y62" i="21"/>
  <c r="X62" i="21"/>
  <c r="U62" i="21"/>
  <c r="S62" i="21"/>
  <c r="R62" i="21"/>
  <c r="Q62" i="21"/>
  <c r="N62" i="21"/>
  <c r="L62" i="21"/>
  <c r="K62" i="21"/>
  <c r="J62" i="21"/>
  <c r="G62" i="21"/>
  <c r="Z61" i="21"/>
  <c r="Y61" i="21"/>
  <c r="X61" i="21"/>
  <c r="U61" i="21"/>
  <c r="S61" i="21"/>
  <c r="R61" i="21"/>
  <c r="Q61" i="21"/>
  <c r="N61" i="21"/>
  <c r="L61" i="21"/>
  <c r="K61" i="21"/>
  <c r="J61" i="21"/>
  <c r="G61" i="21"/>
  <c r="Z60" i="21"/>
  <c r="Y60" i="21"/>
  <c r="X60" i="21"/>
  <c r="U60" i="21"/>
  <c r="S60" i="21"/>
  <c r="R60" i="21"/>
  <c r="Q60" i="21"/>
  <c r="N60" i="21"/>
  <c r="L60" i="21"/>
  <c r="K60" i="21"/>
  <c r="J60" i="21"/>
  <c r="G60" i="21"/>
  <c r="Z59" i="21"/>
  <c r="Y59" i="21"/>
  <c r="X59" i="21"/>
  <c r="U59" i="21"/>
  <c r="S59" i="21"/>
  <c r="R59" i="21"/>
  <c r="Q59" i="21"/>
  <c r="N59" i="21"/>
  <c r="L59" i="21"/>
  <c r="K59" i="21"/>
  <c r="J59" i="21"/>
  <c r="G59" i="21"/>
  <c r="Z58" i="21"/>
  <c r="Y58" i="21"/>
  <c r="X58" i="21"/>
  <c r="U58" i="21"/>
  <c r="S58" i="21"/>
  <c r="R58" i="21"/>
  <c r="Q58" i="21"/>
  <c r="N58" i="21"/>
  <c r="L58" i="21"/>
  <c r="K58" i="21"/>
  <c r="J58" i="21"/>
  <c r="G58" i="21"/>
  <c r="Z57" i="21"/>
  <c r="Y57" i="21"/>
  <c r="X57" i="21"/>
  <c r="U57" i="21"/>
  <c r="S57" i="21"/>
  <c r="R57" i="21"/>
  <c r="Q57" i="21"/>
  <c r="N57" i="21"/>
  <c r="L57" i="21"/>
  <c r="K57" i="21"/>
  <c r="J57" i="21"/>
  <c r="G57" i="21"/>
  <c r="Z56" i="21"/>
  <c r="Y56" i="21"/>
  <c r="X56" i="21"/>
  <c r="U56" i="21"/>
  <c r="S56" i="21"/>
  <c r="R56" i="21"/>
  <c r="Q56" i="21"/>
  <c r="N56" i="21"/>
  <c r="L56" i="21"/>
  <c r="K56" i="21"/>
  <c r="J56" i="21"/>
  <c r="G56" i="21"/>
  <c r="Z55" i="21"/>
  <c r="Y55" i="21"/>
  <c r="X55" i="21"/>
  <c r="U55" i="21"/>
  <c r="S55" i="21"/>
  <c r="R55" i="21"/>
  <c r="Q55" i="21"/>
  <c r="N55" i="21"/>
  <c r="L55" i="21"/>
  <c r="K55" i="21"/>
  <c r="J55" i="21"/>
  <c r="G55" i="21"/>
  <c r="Z54" i="21"/>
  <c r="Y54" i="21"/>
  <c r="X54" i="21"/>
  <c r="U54" i="21"/>
  <c r="S54" i="21"/>
  <c r="R54" i="21"/>
  <c r="Q54" i="21"/>
  <c r="N54" i="21"/>
  <c r="L54" i="21"/>
  <c r="K54" i="21"/>
  <c r="J54" i="21"/>
  <c r="G54" i="21"/>
  <c r="Z53" i="21"/>
  <c r="Y53" i="21"/>
  <c r="X53" i="21"/>
  <c r="U53" i="21"/>
  <c r="S53" i="21"/>
  <c r="R53" i="21"/>
  <c r="Q53" i="21"/>
  <c r="N53" i="21"/>
  <c r="L53" i="21"/>
  <c r="K53" i="21"/>
  <c r="J53" i="21"/>
  <c r="G53" i="21"/>
  <c r="Z52" i="21"/>
  <c r="Y52" i="21"/>
  <c r="X52" i="21"/>
  <c r="U52" i="21"/>
  <c r="S52" i="21"/>
  <c r="R52" i="21"/>
  <c r="Q52" i="21"/>
  <c r="N52" i="21"/>
  <c r="L52" i="21"/>
  <c r="K52" i="21"/>
  <c r="J52" i="21"/>
  <c r="G52" i="21"/>
  <c r="Z51" i="21"/>
  <c r="Y51" i="21"/>
  <c r="X51" i="21"/>
  <c r="U51" i="21"/>
  <c r="S51" i="21"/>
  <c r="R51" i="21"/>
  <c r="Q51" i="21"/>
  <c r="N51" i="21"/>
  <c r="L51" i="21"/>
  <c r="K51" i="21"/>
  <c r="J51" i="21"/>
  <c r="G51" i="21"/>
  <c r="Z50" i="21"/>
  <c r="Y50" i="21"/>
  <c r="X50" i="21"/>
  <c r="U50" i="21"/>
  <c r="S50" i="21"/>
  <c r="R50" i="21"/>
  <c r="Q50" i="21"/>
  <c r="N50" i="21"/>
  <c r="L50" i="21"/>
  <c r="K50" i="21"/>
  <c r="J50" i="21"/>
  <c r="G50" i="21"/>
  <c r="Z49" i="21"/>
  <c r="Y49" i="21"/>
  <c r="X49" i="21"/>
  <c r="U49" i="21"/>
  <c r="S49" i="21"/>
  <c r="R49" i="21"/>
  <c r="Q49" i="21"/>
  <c r="N49" i="21"/>
  <c r="L49" i="21"/>
  <c r="K49" i="21"/>
  <c r="J49" i="21"/>
  <c r="G49" i="21"/>
  <c r="Z48" i="21"/>
  <c r="Y48" i="21"/>
  <c r="X48" i="21"/>
  <c r="U48" i="21"/>
  <c r="S48" i="21"/>
  <c r="R48" i="21"/>
  <c r="Q48" i="21"/>
  <c r="N48" i="21"/>
  <c r="L48" i="21"/>
  <c r="K48" i="21"/>
  <c r="J48" i="21"/>
  <c r="G48" i="21"/>
  <c r="Z47" i="21"/>
  <c r="Y47" i="21"/>
  <c r="X47" i="21"/>
  <c r="U47" i="21"/>
  <c r="S47" i="21"/>
  <c r="R47" i="21"/>
  <c r="Q47" i="21"/>
  <c r="N47" i="21"/>
  <c r="L47" i="21"/>
  <c r="K47" i="21"/>
  <c r="J47" i="21"/>
  <c r="G47" i="21"/>
  <c r="Z46" i="21"/>
  <c r="Y46" i="21"/>
  <c r="X46" i="21"/>
  <c r="U46" i="21"/>
  <c r="S46" i="21"/>
  <c r="R46" i="21"/>
  <c r="Q46" i="21"/>
  <c r="N46" i="21"/>
  <c r="L46" i="21"/>
  <c r="K46" i="21"/>
  <c r="J46" i="21"/>
  <c r="G46" i="21"/>
  <c r="Z45" i="21"/>
  <c r="Y45" i="21"/>
  <c r="X45" i="21"/>
  <c r="U45" i="21"/>
  <c r="S45" i="21"/>
  <c r="R45" i="21"/>
  <c r="Q45" i="21"/>
  <c r="N45" i="21"/>
  <c r="L45" i="21"/>
  <c r="K45" i="21"/>
  <c r="J45" i="21"/>
  <c r="G45" i="21"/>
  <c r="Z44" i="21"/>
  <c r="Y44" i="21"/>
  <c r="X44" i="21"/>
  <c r="U44" i="21"/>
  <c r="S44" i="21"/>
  <c r="R44" i="21"/>
  <c r="Q44" i="21"/>
  <c r="N44" i="21"/>
  <c r="L44" i="21"/>
  <c r="K44" i="21"/>
  <c r="J44" i="21"/>
  <c r="G44" i="21"/>
  <c r="Z43" i="21"/>
  <c r="Y43" i="21"/>
  <c r="X43" i="21"/>
  <c r="U43" i="21"/>
  <c r="S43" i="21"/>
  <c r="R43" i="21"/>
  <c r="Q43" i="21"/>
  <c r="N43" i="21"/>
  <c r="L43" i="21"/>
  <c r="K43" i="21"/>
  <c r="J43" i="21"/>
  <c r="G43" i="21"/>
  <c r="Z42" i="21"/>
  <c r="Y42" i="21"/>
  <c r="X42" i="21"/>
  <c r="U42" i="21"/>
  <c r="S42" i="21"/>
  <c r="R42" i="21"/>
  <c r="Q42" i="21"/>
  <c r="N42" i="21"/>
  <c r="L42" i="21"/>
  <c r="K42" i="21"/>
  <c r="J42" i="21"/>
  <c r="G42" i="21"/>
  <c r="Z41" i="21"/>
  <c r="Y41" i="21"/>
  <c r="X41" i="21"/>
  <c r="U41" i="21"/>
  <c r="S41" i="21"/>
  <c r="R41" i="21"/>
  <c r="Q41" i="21"/>
  <c r="N41" i="21"/>
  <c r="L41" i="21"/>
  <c r="K41" i="21"/>
  <c r="J41" i="21"/>
  <c r="G41" i="21"/>
  <c r="Z39" i="21"/>
  <c r="Y39" i="21"/>
  <c r="X39" i="21"/>
  <c r="U39" i="21"/>
  <c r="S39" i="21"/>
  <c r="Q39" i="21"/>
  <c r="N39" i="21"/>
  <c r="L39" i="21"/>
  <c r="J39" i="21"/>
  <c r="G39" i="21"/>
  <c r="Z38" i="21"/>
  <c r="Y38" i="21"/>
  <c r="X38" i="21"/>
  <c r="U38" i="21"/>
  <c r="S38" i="21"/>
  <c r="R38" i="21"/>
  <c r="Q38" i="21"/>
  <c r="N38" i="21"/>
  <c r="L38" i="21"/>
  <c r="K38" i="21"/>
  <c r="J38" i="21"/>
  <c r="G38" i="21"/>
  <c r="Z101" i="21"/>
  <c r="Y101" i="21"/>
  <c r="X101" i="21"/>
  <c r="U101" i="21"/>
  <c r="S101" i="21"/>
  <c r="R101" i="21"/>
  <c r="Q101" i="21"/>
  <c r="N101" i="21"/>
  <c r="L101" i="21"/>
  <c r="K101" i="21"/>
  <c r="J101" i="21"/>
  <c r="G101" i="21"/>
  <c r="Z92" i="21"/>
  <c r="Y92" i="21"/>
  <c r="X92" i="21"/>
  <c r="U92" i="21"/>
  <c r="S92" i="21"/>
  <c r="R92" i="21"/>
  <c r="Q92" i="21"/>
  <c r="N92" i="21"/>
  <c r="L92" i="21"/>
  <c r="K92" i="21"/>
  <c r="J92" i="21"/>
  <c r="G92" i="21"/>
  <c r="Z63" i="21"/>
  <c r="Y63" i="21"/>
  <c r="X63" i="21"/>
  <c r="U63" i="21"/>
  <c r="S63" i="21"/>
  <c r="R63" i="21"/>
  <c r="Q63" i="21"/>
  <c r="N63" i="21"/>
  <c r="L63" i="21"/>
  <c r="K63" i="21"/>
  <c r="J63" i="21"/>
  <c r="G63" i="21"/>
  <c r="Z11" i="21"/>
  <c r="N12" i="21"/>
  <c r="Q12" i="21"/>
  <c r="R12" i="21"/>
  <c r="S12" i="21"/>
  <c r="N13" i="21"/>
  <c r="Q13" i="21"/>
  <c r="R13" i="21"/>
  <c r="S13" i="21"/>
  <c r="N14" i="21"/>
  <c r="Q14" i="21"/>
  <c r="R14" i="21"/>
  <c r="S14" i="21"/>
  <c r="N15" i="21"/>
  <c r="Q15" i="21"/>
  <c r="R15" i="21"/>
  <c r="S15" i="21"/>
  <c r="N16" i="21"/>
  <c r="Q16" i="21"/>
  <c r="R16" i="21"/>
  <c r="S16" i="21"/>
  <c r="N17" i="21"/>
  <c r="Q17" i="21"/>
  <c r="R17" i="21"/>
  <c r="S17" i="21"/>
  <c r="N18" i="21"/>
  <c r="Q18" i="21"/>
  <c r="R18" i="21"/>
  <c r="S18" i="21"/>
  <c r="N19" i="21"/>
  <c r="Q19" i="21"/>
  <c r="R19" i="21"/>
  <c r="S19" i="21"/>
  <c r="N20" i="21"/>
  <c r="Q20" i="21"/>
  <c r="R20" i="21"/>
  <c r="S20" i="21"/>
  <c r="N21" i="21"/>
  <c r="Q21" i="21"/>
  <c r="R21" i="21"/>
  <c r="S21" i="21"/>
  <c r="N22" i="21"/>
  <c r="Q22" i="21"/>
  <c r="R22" i="21"/>
  <c r="S22" i="21"/>
  <c r="N23" i="21"/>
  <c r="Q23" i="21"/>
  <c r="R23" i="21"/>
  <c r="S23" i="21"/>
  <c r="N24" i="21"/>
  <c r="Q24" i="21"/>
  <c r="R24" i="21"/>
  <c r="S24" i="21"/>
  <c r="N25" i="21"/>
  <c r="Q25" i="21"/>
  <c r="R25" i="21"/>
  <c r="S25" i="21"/>
  <c r="N26" i="21"/>
  <c r="Q26" i="21"/>
  <c r="R26" i="21"/>
  <c r="S26" i="21"/>
  <c r="N27" i="21"/>
  <c r="Q27" i="21"/>
  <c r="R27" i="21"/>
  <c r="S27" i="21"/>
  <c r="N28" i="21"/>
  <c r="Q28" i="21"/>
  <c r="R28" i="21"/>
  <c r="S28" i="21"/>
  <c r="N29" i="21"/>
  <c r="Q29" i="21"/>
  <c r="R29" i="21"/>
  <c r="S29" i="21"/>
  <c r="N30" i="21"/>
  <c r="Q30" i="21"/>
  <c r="R30" i="21"/>
  <c r="S30" i="21"/>
  <c r="N31" i="21"/>
  <c r="Q31" i="21"/>
  <c r="R31" i="21"/>
  <c r="S31" i="21"/>
  <c r="N32" i="21"/>
  <c r="Q32" i="21"/>
  <c r="R32" i="21"/>
  <c r="S32" i="21"/>
  <c r="N33" i="21"/>
  <c r="Q33" i="21"/>
  <c r="R33" i="21"/>
  <c r="S33" i="21"/>
  <c r="N34" i="21"/>
  <c r="Q34" i="21"/>
  <c r="R34" i="21"/>
  <c r="S34" i="21"/>
  <c r="N35" i="21"/>
  <c r="Q35" i="21"/>
  <c r="R35" i="21"/>
  <c r="S35" i="21"/>
  <c r="Y11" i="21"/>
  <c r="X11" i="21"/>
  <c r="U11" i="21"/>
  <c r="S11" i="21"/>
  <c r="R11" i="21"/>
  <c r="Q11" i="21"/>
  <c r="N11" i="21"/>
  <c r="J12" i="21"/>
  <c r="K12" i="21"/>
  <c r="L12" i="21"/>
  <c r="J13" i="21"/>
  <c r="K13" i="21"/>
  <c r="L13" i="21"/>
  <c r="J14" i="21"/>
  <c r="K14" i="21"/>
  <c r="L14" i="21"/>
  <c r="J15" i="21"/>
  <c r="K15" i="21"/>
  <c r="L15" i="21"/>
  <c r="J16" i="21"/>
  <c r="K16" i="21"/>
  <c r="L16" i="21"/>
  <c r="J17" i="21"/>
  <c r="K17" i="21"/>
  <c r="L17" i="21"/>
  <c r="J18" i="21"/>
  <c r="K18" i="21"/>
  <c r="L18" i="21"/>
  <c r="J19" i="21"/>
  <c r="K19" i="21"/>
  <c r="L19" i="21"/>
  <c r="J20" i="21"/>
  <c r="K20" i="21"/>
  <c r="L20" i="21"/>
  <c r="J21" i="21"/>
  <c r="K21" i="21"/>
  <c r="L21" i="21"/>
  <c r="J22" i="21"/>
  <c r="K22" i="21"/>
  <c r="L22" i="21"/>
  <c r="J23" i="21"/>
  <c r="K23" i="21"/>
  <c r="L23" i="21"/>
  <c r="J24" i="21"/>
  <c r="K24" i="21"/>
  <c r="L24" i="21"/>
  <c r="J25" i="21"/>
  <c r="K25" i="21"/>
  <c r="L25" i="21"/>
  <c r="J26" i="21"/>
  <c r="K26" i="21"/>
  <c r="L26" i="21"/>
  <c r="J27" i="21"/>
  <c r="K27" i="21"/>
  <c r="L27" i="21"/>
  <c r="J28" i="21"/>
  <c r="K28" i="21"/>
  <c r="L28" i="21"/>
  <c r="J29" i="21"/>
  <c r="K29" i="21"/>
  <c r="L29" i="21"/>
  <c r="J30" i="21"/>
  <c r="K30" i="21"/>
  <c r="L30" i="21"/>
  <c r="J31" i="21"/>
  <c r="K31" i="21"/>
  <c r="L31" i="21"/>
  <c r="J32" i="21"/>
  <c r="K32" i="21"/>
  <c r="L32" i="21"/>
  <c r="J33" i="21"/>
  <c r="K33" i="21"/>
  <c r="L33" i="21"/>
  <c r="J34" i="21"/>
  <c r="K34" i="21"/>
  <c r="L34" i="21"/>
  <c r="J35" i="21"/>
  <c r="K35" i="21"/>
  <c r="L35" i="21"/>
  <c r="U35" i="21"/>
  <c r="U34" i="21"/>
  <c r="U33" i="21"/>
  <c r="U32" i="21"/>
  <c r="U31" i="21"/>
  <c r="U30" i="21"/>
  <c r="U29" i="21"/>
  <c r="U28" i="21"/>
  <c r="U27" i="21"/>
  <c r="U26" i="21"/>
  <c r="U25" i="21"/>
  <c r="U24" i="21"/>
  <c r="U23" i="21"/>
  <c r="U22" i="21"/>
  <c r="U21" i="21"/>
  <c r="U20" i="21"/>
  <c r="U19" i="21"/>
  <c r="U18" i="21"/>
  <c r="U17" i="21"/>
  <c r="U16" i="21"/>
  <c r="U15" i="21"/>
  <c r="U14" i="21"/>
  <c r="U13" i="21"/>
  <c r="U12" i="21"/>
  <c r="G12" i="21"/>
  <c r="G13" i="21"/>
  <c r="G14" i="21"/>
  <c r="G15" i="21"/>
  <c r="G16" i="21"/>
  <c r="G17" i="21"/>
  <c r="G18" i="21"/>
  <c r="G19" i="21"/>
  <c r="G20" i="21"/>
  <c r="G21" i="21"/>
  <c r="G22" i="21"/>
  <c r="G23" i="21"/>
  <c r="G24" i="21"/>
  <c r="G25" i="21"/>
  <c r="G26" i="21"/>
  <c r="G27" i="21"/>
  <c r="G28" i="21"/>
  <c r="G29" i="21"/>
  <c r="G30" i="21"/>
  <c r="G31" i="21"/>
  <c r="G32" i="21"/>
  <c r="G33" i="21"/>
  <c r="G34" i="21"/>
  <c r="G35" i="21"/>
  <c r="G11" i="21"/>
  <c r="AB222" i="21"/>
  <c r="X12" i="21"/>
  <c r="Y12" i="21"/>
  <c r="Z12" i="21"/>
  <c r="X13" i="21"/>
  <c r="Y13" i="21"/>
  <c r="Z13" i="21"/>
  <c r="X14" i="21"/>
  <c r="Y14" i="21"/>
  <c r="Z14" i="21"/>
  <c r="X15" i="21"/>
  <c r="Y15" i="21"/>
  <c r="Z15" i="21"/>
  <c r="X16" i="21"/>
  <c r="Y16" i="21"/>
  <c r="Z16" i="21"/>
  <c r="X17" i="21"/>
  <c r="Y17" i="21"/>
  <c r="Z17" i="21"/>
  <c r="X18" i="21"/>
  <c r="Y18" i="21"/>
  <c r="Z18" i="21"/>
  <c r="X19" i="21"/>
  <c r="Y19" i="21"/>
  <c r="Z19" i="21"/>
  <c r="X20" i="21"/>
  <c r="Y20" i="21"/>
  <c r="Z20" i="21"/>
  <c r="X21" i="21"/>
  <c r="Y21" i="21"/>
  <c r="Z21" i="21"/>
  <c r="X22" i="21"/>
  <c r="Y22" i="21"/>
  <c r="Z22" i="21"/>
  <c r="X23" i="21"/>
  <c r="Y23" i="21"/>
  <c r="Z23" i="21"/>
  <c r="X24" i="21"/>
  <c r="Y24" i="21"/>
  <c r="Z24" i="21"/>
  <c r="X25" i="21"/>
  <c r="Y25" i="21"/>
  <c r="Z25" i="21"/>
  <c r="X26" i="21"/>
  <c r="Y26" i="21"/>
  <c r="Z26" i="21"/>
  <c r="X27" i="21"/>
  <c r="Y27" i="21"/>
  <c r="Z27" i="21"/>
  <c r="X28" i="21"/>
  <c r="Y28" i="21"/>
  <c r="Z28" i="21"/>
  <c r="X29" i="21"/>
  <c r="Y29" i="21"/>
  <c r="Z29" i="21"/>
  <c r="X30" i="21"/>
  <c r="Y30" i="21"/>
  <c r="Z30" i="21"/>
  <c r="X31" i="21"/>
  <c r="Y31" i="21"/>
  <c r="Z31" i="21"/>
  <c r="X32" i="21"/>
  <c r="Y32" i="21"/>
  <c r="Z32" i="21"/>
  <c r="X33" i="21"/>
  <c r="Y33" i="21"/>
  <c r="Z33" i="21"/>
  <c r="X34" i="21"/>
  <c r="Y34" i="21"/>
  <c r="Z34" i="21"/>
  <c r="X35" i="21"/>
  <c r="Y35" i="21"/>
  <c r="Z35" i="21"/>
  <c r="AF10" i="21"/>
  <c r="E35" i="21"/>
  <c r="Q231" i="13" l="1"/>
  <c r="Q214" i="13"/>
  <c r="Q192" i="13"/>
  <c r="Q189" i="13"/>
  <c r="Q187" i="13"/>
  <c r="Q183" i="13"/>
  <c r="Q179" i="13"/>
  <c r="Q175" i="13"/>
  <c r="Q171" i="13"/>
  <c r="Q169" i="13"/>
  <c r="Q164" i="13"/>
  <c r="Q162" i="13"/>
  <c r="Q160" i="13"/>
  <c r="Q155" i="13"/>
  <c r="Q148" i="13"/>
  <c r="Q144" i="13"/>
  <c r="Q138" i="13"/>
  <c r="Q134" i="13"/>
  <c r="Q130" i="13"/>
  <c r="Q126" i="13"/>
  <c r="Q121" i="13"/>
  <c r="Q117" i="13"/>
  <c r="Q115" i="13"/>
  <c r="Q113" i="13"/>
  <c r="Q103" i="13"/>
  <c r="Q100" i="13"/>
  <c r="Q93" i="13"/>
  <c r="Q90" i="13"/>
  <c r="Q86" i="13"/>
  <c r="Q83" i="13"/>
  <c r="Q75" i="13"/>
  <c r="Q69" i="13"/>
  <c r="Q63" i="13"/>
  <c r="Q59" i="13"/>
  <c r="Q56" i="13"/>
  <c r="Q51" i="13"/>
  <c r="Q46" i="13"/>
  <c r="Q39" i="13"/>
  <c r="Q30" i="13"/>
  <c r="Q26" i="13"/>
  <c r="Q19" i="13"/>
  <c r="Q16" i="13"/>
  <c r="Q10" i="13"/>
  <c r="L17" i="3"/>
  <c r="R9" i="13" s="1"/>
  <c r="O2" i="11"/>
  <c r="AB38" i="11"/>
  <c r="AB39" i="11"/>
  <c r="AB41" i="11"/>
  <c r="AB42" i="11"/>
  <c r="AB43" i="11"/>
  <c r="AB45" i="11"/>
  <c r="AB46" i="11"/>
  <c r="AB47" i="11"/>
  <c r="AB48" i="11"/>
  <c r="AB49" i="11"/>
  <c r="AB50" i="11"/>
  <c r="AB51" i="11"/>
  <c r="AB52" i="11"/>
  <c r="AB53" i="11"/>
  <c r="AB54" i="11"/>
  <c r="AB55" i="11"/>
  <c r="AB56" i="11"/>
  <c r="AB57" i="11"/>
  <c r="AB58" i="11"/>
  <c r="Q152" i="13" l="1"/>
  <c r="Q110" i="13"/>
  <c r="Q123" i="13"/>
  <c r="Q36" i="13"/>
  <c r="Q97" i="13"/>
  <c r="Q66" i="13"/>
  <c r="Q166" i="13"/>
  <c r="Q197" i="13"/>
  <c r="E218" i="13"/>
  <c r="Y4" i="13"/>
  <c r="E7" i="5"/>
  <c r="E7" i="21" s="1"/>
  <c r="BQ252" i="13"/>
  <c r="AF165" i="5"/>
  <c r="AE165" i="5"/>
  <c r="AD165" i="5"/>
  <c r="AF153" i="5"/>
  <c r="AE153" i="5"/>
  <c r="AD153" i="5"/>
  <c r="C13" i="11"/>
  <c r="B49" i="11" s="1"/>
  <c r="U7" i="5"/>
  <c r="N7" i="5"/>
  <c r="BQ32" i="13"/>
  <c r="BR32" i="13" s="1"/>
  <c r="BQ33" i="13"/>
  <c r="BT33" i="13" s="1"/>
  <c r="BQ34" i="13"/>
  <c r="BR34" i="13" s="1"/>
  <c r="BQ35" i="13"/>
  <c r="BR35" i="13" s="1"/>
  <c r="BQ39" i="13"/>
  <c r="BR39" i="13" s="1"/>
  <c r="BQ40" i="13"/>
  <c r="BT40" i="13" s="1"/>
  <c r="BQ41" i="13"/>
  <c r="BR41" i="13" s="1"/>
  <c r="BQ42" i="13"/>
  <c r="BR42" i="13" s="1"/>
  <c r="BQ43" i="13"/>
  <c r="BR43" i="13" s="1"/>
  <c r="BQ44" i="13"/>
  <c r="BS44" i="13" s="1"/>
  <c r="BQ45" i="13"/>
  <c r="BR45" i="13" s="1"/>
  <c r="BQ46" i="13"/>
  <c r="BR46" i="13" s="1"/>
  <c r="BQ47" i="13"/>
  <c r="BR47" i="13" s="1"/>
  <c r="BQ48" i="13"/>
  <c r="BT48" i="13" s="1"/>
  <c r="BQ49" i="13"/>
  <c r="BQ50" i="13"/>
  <c r="BR50" i="13" s="1"/>
  <c r="BQ51" i="13"/>
  <c r="BR51" i="13" s="1"/>
  <c r="BQ52" i="13"/>
  <c r="BR52" i="13" s="1"/>
  <c r="BQ53" i="13"/>
  <c r="BT53" i="13" s="1"/>
  <c r="BQ54" i="13"/>
  <c r="BR54" i="13" s="1"/>
  <c r="BQ55" i="13"/>
  <c r="BR55" i="13" s="1"/>
  <c r="BQ56" i="13"/>
  <c r="BR56" i="13" s="1"/>
  <c r="BQ57" i="13"/>
  <c r="BT57" i="13" s="1"/>
  <c r="BQ58" i="13"/>
  <c r="BR58" i="13" s="1"/>
  <c r="BQ59" i="13"/>
  <c r="BR59" i="13" s="1"/>
  <c r="BQ60" i="13"/>
  <c r="BR60" i="13" s="1"/>
  <c r="BQ61" i="13"/>
  <c r="BT61" i="13" s="1"/>
  <c r="BQ62" i="13"/>
  <c r="BR62" i="13" s="1"/>
  <c r="BQ63" i="13"/>
  <c r="BR63" i="13" s="1"/>
  <c r="BQ64" i="13"/>
  <c r="BR64" i="13" s="1"/>
  <c r="BQ65" i="13"/>
  <c r="BT65" i="13" s="1"/>
  <c r="BQ69" i="13"/>
  <c r="BR69" i="13" s="1"/>
  <c r="BQ70" i="13"/>
  <c r="BR70" i="13" s="1"/>
  <c r="BQ71" i="13"/>
  <c r="BR71" i="13" s="1"/>
  <c r="BQ72" i="13"/>
  <c r="BQ73" i="13"/>
  <c r="BQ74" i="13"/>
  <c r="BR74" i="13" s="1"/>
  <c r="BQ75" i="13"/>
  <c r="BR75" i="13" s="1"/>
  <c r="BQ76" i="13"/>
  <c r="BR76" i="13" s="1"/>
  <c r="BQ77" i="13"/>
  <c r="BT77" i="13" s="1"/>
  <c r="BQ78" i="13"/>
  <c r="BR78" i="13" s="1"/>
  <c r="BQ79" i="13"/>
  <c r="BR79" i="13" s="1"/>
  <c r="BQ80" i="13"/>
  <c r="BR80" i="13" s="1"/>
  <c r="BQ81" i="13"/>
  <c r="BS81" i="13" s="1"/>
  <c r="BQ82" i="13"/>
  <c r="BR82" i="13" s="1"/>
  <c r="BQ83" i="13"/>
  <c r="BR83" i="13" s="1"/>
  <c r="BQ84" i="13"/>
  <c r="BR84" i="13" s="1"/>
  <c r="BQ85" i="13"/>
  <c r="BR85" i="13" s="1"/>
  <c r="BQ86" i="13"/>
  <c r="BR86" i="13" s="1"/>
  <c r="BQ87" i="13"/>
  <c r="BR87" i="13" s="1"/>
  <c r="BQ88" i="13"/>
  <c r="BR88" i="13" s="1"/>
  <c r="BQ89" i="13"/>
  <c r="BT89" i="13" s="1"/>
  <c r="BQ90" i="13"/>
  <c r="BR90" i="13" s="1"/>
  <c r="BQ91" i="13"/>
  <c r="BR91" i="13" s="1"/>
  <c r="BQ92" i="13"/>
  <c r="BR92" i="13" s="1"/>
  <c r="BQ93" i="13"/>
  <c r="BR93" i="13" s="1"/>
  <c r="BQ94" i="13"/>
  <c r="BR94" i="13" s="1"/>
  <c r="BQ95" i="13"/>
  <c r="BR95" i="13" s="1"/>
  <c r="BQ96" i="13"/>
  <c r="BR96" i="13" s="1"/>
  <c r="BQ100" i="13"/>
  <c r="BR100" i="13" s="1"/>
  <c r="BQ101" i="13"/>
  <c r="BQ102" i="13"/>
  <c r="BQ103" i="13"/>
  <c r="BR103" i="13" s="1"/>
  <c r="BQ104" i="13"/>
  <c r="BT104" i="13" s="1"/>
  <c r="BQ105" i="13"/>
  <c r="BR105" i="13" s="1"/>
  <c r="BQ106" i="13"/>
  <c r="BR106" i="13" s="1"/>
  <c r="BQ107" i="13"/>
  <c r="BR107" i="13" s="1"/>
  <c r="BQ108" i="13"/>
  <c r="BR108" i="13" s="1"/>
  <c r="BQ109" i="13"/>
  <c r="BR109" i="13" s="1"/>
  <c r="BQ113" i="13"/>
  <c r="BR113" i="13" s="1"/>
  <c r="BQ114" i="13"/>
  <c r="BQ115" i="13"/>
  <c r="BR115" i="13" s="1"/>
  <c r="BQ116" i="13"/>
  <c r="BT116" i="13" s="1"/>
  <c r="BQ117" i="13"/>
  <c r="BR117" i="13" s="1"/>
  <c r="BQ118" i="13"/>
  <c r="BR118" i="13" s="1"/>
  <c r="BQ119" i="13"/>
  <c r="BR119" i="13" s="1"/>
  <c r="BQ120" i="13"/>
  <c r="BT120" i="13" s="1"/>
  <c r="BQ121" i="13"/>
  <c r="BR121" i="13" s="1"/>
  <c r="BQ122" i="13"/>
  <c r="BR122" i="13" s="1"/>
  <c r="BQ126" i="13"/>
  <c r="BR126" i="13" s="1"/>
  <c r="BQ127" i="13"/>
  <c r="BS127" i="13" s="1"/>
  <c r="BQ128" i="13"/>
  <c r="BQ129" i="13"/>
  <c r="BQ130" i="13"/>
  <c r="BR130" i="13" s="1"/>
  <c r="BQ131" i="13"/>
  <c r="BT131" i="13" s="1"/>
  <c r="BQ132" i="13"/>
  <c r="BR132" i="13" s="1"/>
  <c r="BQ133" i="13"/>
  <c r="BR133" i="13" s="1"/>
  <c r="BQ134" i="13"/>
  <c r="BR134" i="13" s="1"/>
  <c r="BQ135" i="13"/>
  <c r="BT135" i="13" s="1"/>
  <c r="BQ136" i="13"/>
  <c r="BR136" i="13" s="1"/>
  <c r="BQ137" i="13"/>
  <c r="BR137" i="13" s="1"/>
  <c r="BQ138" i="13"/>
  <c r="BR138" i="13" s="1"/>
  <c r="BQ139" i="13"/>
  <c r="BR139" i="13" s="1"/>
  <c r="BQ140" i="13"/>
  <c r="BR140" i="13" s="1"/>
  <c r="BQ141" i="13"/>
  <c r="BR141" i="13" s="1"/>
  <c r="BQ142" i="13"/>
  <c r="BR142" i="13" s="1"/>
  <c r="BQ143" i="13"/>
  <c r="BT143" i="13" s="1"/>
  <c r="BQ144" i="13"/>
  <c r="BR144" i="13" s="1"/>
  <c r="BQ145" i="13"/>
  <c r="BQ146" i="13"/>
  <c r="BQ147" i="13"/>
  <c r="BQ148" i="13"/>
  <c r="BR148" i="13" s="1"/>
  <c r="BQ150" i="13"/>
  <c r="BQ151" i="13"/>
  <c r="BQ155" i="13"/>
  <c r="BR155" i="13" s="1"/>
  <c r="BQ156" i="13"/>
  <c r="BQ157" i="13"/>
  <c r="BT157" i="13" s="1"/>
  <c r="BQ158" i="13"/>
  <c r="BQ159" i="13"/>
  <c r="BR159" i="13" s="1"/>
  <c r="BQ160" i="13"/>
  <c r="BR160" i="13" s="1"/>
  <c r="BQ161" i="13"/>
  <c r="BR161" i="13" s="1"/>
  <c r="BQ162" i="13"/>
  <c r="BR162" i="13" s="1"/>
  <c r="BQ163" i="13"/>
  <c r="BR163" i="13" s="1"/>
  <c r="BQ164" i="13"/>
  <c r="BT164" i="13" s="1"/>
  <c r="BQ165" i="13"/>
  <c r="BR165" i="13" s="1"/>
  <c r="BQ169" i="13"/>
  <c r="BR169" i="13" s="1"/>
  <c r="BQ170" i="13"/>
  <c r="BQ171" i="13"/>
  <c r="BT171" i="13" s="1"/>
  <c r="BQ172" i="13"/>
  <c r="BR172" i="13" s="1"/>
  <c r="BQ173" i="13"/>
  <c r="BQ175" i="13"/>
  <c r="BR175" i="13" s="1"/>
  <c r="BQ176" i="13"/>
  <c r="BT176" i="13" s="1"/>
  <c r="BQ177" i="13"/>
  <c r="BQ178" i="13"/>
  <c r="BQ179" i="13"/>
  <c r="BT179" i="13" s="1"/>
  <c r="BQ180" i="13"/>
  <c r="BR180" i="13" s="1"/>
  <c r="BQ181" i="13"/>
  <c r="BR181" i="13" s="1"/>
  <c r="BQ182" i="13"/>
  <c r="BR182" i="13" s="1"/>
  <c r="BQ183" i="13"/>
  <c r="BT183" i="13" s="1"/>
  <c r="BQ184" i="13"/>
  <c r="BR184" i="13" s="1"/>
  <c r="BQ185" i="13"/>
  <c r="BR185" i="13" s="1"/>
  <c r="BQ186" i="13"/>
  <c r="BR186" i="13" s="1"/>
  <c r="BQ187" i="13"/>
  <c r="BT187" i="13" s="1"/>
  <c r="BQ188" i="13"/>
  <c r="BQ189" i="13"/>
  <c r="BR189" i="13" s="1"/>
  <c r="BQ190" i="13"/>
  <c r="BR190" i="13" s="1"/>
  <c r="BQ191" i="13"/>
  <c r="BR191" i="13" s="1"/>
  <c r="BQ192" i="13"/>
  <c r="BT192" i="13" s="1"/>
  <c r="BQ193" i="13"/>
  <c r="BR193" i="13" s="1"/>
  <c r="BQ194" i="13"/>
  <c r="BR194" i="13" s="1"/>
  <c r="BQ195" i="13"/>
  <c r="BR195" i="13" s="1"/>
  <c r="BQ196" i="13"/>
  <c r="BT196" i="13" s="1"/>
  <c r="BQ200" i="13"/>
  <c r="BR200" i="13" s="1"/>
  <c r="BQ201" i="13"/>
  <c r="BR201" i="13" s="1"/>
  <c r="BQ202" i="13"/>
  <c r="BS202" i="13" s="1"/>
  <c r="BQ203" i="13"/>
  <c r="BS203" i="13" s="1"/>
  <c r="BQ204" i="13"/>
  <c r="BR204" i="13" s="1"/>
  <c r="BQ205" i="13"/>
  <c r="BR205" i="13" s="1"/>
  <c r="BQ206" i="13"/>
  <c r="BR206" i="13" s="1"/>
  <c r="BQ207" i="13"/>
  <c r="BT207" i="13" s="1"/>
  <c r="BQ208" i="13"/>
  <c r="BR208" i="13" s="1"/>
  <c r="BQ209" i="13"/>
  <c r="BR209" i="13" s="1"/>
  <c r="BQ210" i="13"/>
  <c r="BS210" i="13" s="1"/>
  <c r="BQ211" i="13"/>
  <c r="BT211" i="13" s="1"/>
  <c r="BQ212" i="13"/>
  <c r="BR212" i="13" s="1"/>
  <c r="BQ213" i="13"/>
  <c r="BR213" i="13" s="1"/>
  <c r="BQ217" i="13"/>
  <c r="BR217" i="13" s="1"/>
  <c r="BQ218" i="13"/>
  <c r="BS218" i="13" s="1"/>
  <c r="BQ219" i="13"/>
  <c r="BR219" i="13" s="1"/>
  <c r="BQ220" i="13"/>
  <c r="BR220" i="13" s="1"/>
  <c r="BQ221" i="13"/>
  <c r="BS221" i="13" s="1"/>
  <c r="BQ222" i="13"/>
  <c r="BT222" i="13" s="1"/>
  <c r="BQ223" i="13"/>
  <c r="BR223" i="13" s="1"/>
  <c r="BQ224" i="13"/>
  <c r="BR224" i="13" s="1"/>
  <c r="BQ225" i="13"/>
  <c r="BQ226" i="13"/>
  <c r="BR226" i="13" s="1"/>
  <c r="BQ227" i="13"/>
  <c r="BT227" i="13" s="1"/>
  <c r="BQ228" i="13"/>
  <c r="BR228" i="13" s="1"/>
  <c r="BQ229" i="13"/>
  <c r="BR229" i="13" s="1"/>
  <c r="BQ230" i="13"/>
  <c r="BT230" i="13" s="1"/>
  <c r="BQ234" i="13"/>
  <c r="BS234" i="13" s="1"/>
  <c r="BQ236" i="13"/>
  <c r="BR236" i="13" s="1"/>
  <c r="BQ237" i="13"/>
  <c r="BR237" i="13" s="1"/>
  <c r="BQ238" i="13"/>
  <c r="BQ239" i="13"/>
  <c r="BQ240" i="13"/>
  <c r="BR240" i="13" s="1"/>
  <c r="BQ241" i="13"/>
  <c r="BR241" i="13" s="1"/>
  <c r="BQ243" i="13"/>
  <c r="BT243" i="13" s="1"/>
  <c r="BQ244" i="13"/>
  <c r="BR244" i="13" s="1"/>
  <c r="BQ245" i="13"/>
  <c r="BR245" i="13" s="1"/>
  <c r="BQ246" i="13"/>
  <c r="BS246" i="13" s="1"/>
  <c r="BQ247" i="13"/>
  <c r="BS247" i="13" s="1"/>
  <c r="BQ248" i="13"/>
  <c r="BR248" i="13" s="1"/>
  <c r="BQ249" i="13"/>
  <c r="BR249" i="13" s="1"/>
  <c r="BQ11" i="13"/>
  <c r="BS11" i="13" s="1"/>
  <c r="BQ12" i="13"/>
  <c r="BQ13" i="13"/>
  <c r="BT13" i="13" s="1"/>
  <c r="BQ14" i="13"/>
  <c r="BS14" i="13" s="1"/>
  <c r="BQ15" i="13"/>
  <c r="BR15" i="13" s="1"/>
  <c r="BQ16" i="13"/>
  <c r="BR16" i="13" s="1"/>
  <c r="BQ17" i="13"/>
  <c r="BT17" i="13" s="1"/>
  <c r="BQ18" i="13"/>
  <c r="BS18" i="13" s="1"/>
  <c r="BQ19" i="13"/>
  <c r="BS19" i="13" s="1"/>
  <c r="BQ20" i="13"/>
  <c r="BS20" i="13" s="1"/>
  <c r="BQ21" i="13"/>
  <c r="BR21" i="13" s="1"/>
  <c r="BQ22" i="13"/>
  <c r="BQ23" i="13"/>
  <c r="BQ24" i="13"/>
  <c r="BQ25" i="13"/>
  <c r="BQ26" i="13"/>
  <c r="BT26" i="13" s="1"/>
  <c r="BQ27" i="13"/>
  <c r="BS27" i="13" s="1"/>
  <c r="BQ28" i="13"/>
  <c r="BR28" i="13" s="1"/>
  <c r="BQ29" i="13"/>
  <c r="BT29" i="13" s="1"/>
  <c r="BQ30" i="13"/>
  <c r="BT30" i="13" s="1"/>
  <c r="BQ31" i="13"/>
  <c r="BR31" i="13" s="1"/>
  <c r="BQ10" i="13"/>
  <c r="BT10" i="13" s="1"/>
  <c r="Q257" i="13" l="1"/>
  <c r="BS157" i="13"/>
  <c r="BR127" i="13"/>
  <c r="BS94" i="13"/>
  <c r="BR81" i="13"/>
  <c r="BS57" i="13"/>
  <c r="BR157" i="13"/>
  <c r="BR120" i="13"/>
  <c r="BT93" i="13"/>
  <c r="BR77" i="13"/>
  <c r="BR57" i="13"/>
  <c r="BT140" i="13"/>
  <c r="BT109" i="13"/>
  <c r="BS93" i="13"/>
  <c r="BT54" i="13"/>
  <c r="BS140" i="13"/>
  <c r="BS109" i="13"/>
  <c r="BS54" i="13"/>
  <c r="BT139" i="13"/>
  <c r="BT108" i="13"/>
  <c r="BR89" i="13"/>
  <c r="BR53" i="13"/>
  <c r="BS139" i="13"/>
  <c r="BS108" i="13"/>
  <c r="BT85" i="13"/>
  <c r="BT69" i="13"/>
  <c r="BR48" i="13"/>
  <c r="BR19" i="13"/>
  <c r="BS85" i="13"/>
  <c r="BS69" i="13"/>
  <c r="BT45" i="13"/>
  <c r="BS26" i="13"/>
  <c r="BR135" i="13"/>
  <c r="BR104" i="13"/>
  <c r="BR65" i="13"/>
  <c r="BS45" i="13"/>
  <c r="BT100" i="13"/>
  <c r="BT82" i="13"/>
  <c r="BR61" i="13"/>
  <c r="BT44" i="13"/>
  <c r="BS13" i="13"/>
  <c r="BS100" i="13"/>
  <c r="BS82" i="13"/>
  <c r="BT58" i="13"/>
  <c r="BR44" i="13"/>
  <c r="BS196" i="13"/>
  <c r="BT127" i="13"/>
  <c r="BT81" i="13"/>
  <c r="BS58" i="13"/>
  <c r="BR33" i="13"/>
  <c r="BT94" i="13"/>
  <c r="BR20" i="13"/>
  <c r="BS30" i="13"/>
  <c r="BS17" i="13"/>
  <c r="BR210" i="13"/>
  <c r="BS143" i="13"/>
  <c r="BS135" i="13"/>
  <c r="BS131" i="13"/>
  <c r="BS120" i="13"/>
  <c r="BS116" i="13"/>
  <c r="BS104" i="13"/>
  <c r="BS89" i="13"/>
  <c r="BS77" i="13"/>
  <c r="BS65" i="13"/>
  <c r="BS61" i="13"/>
  <c r="BS53" i="13"/>
  <c r="BS48" i="13"/>
  <c r="BS40" i="13"/>
  <c r="BS33" i="13"/>
  <c r="BR11" i="13"/>
  <c r="BR18" i="13"/>
  <c r="BS29" i="13"/>
  <c r="BS16" i="13"/>
  <c r="BR196" i="13"/>
  <c r="BT155" i="13"/>
  <c r="BT142" i="13"/>
  <c r="BT138" i="13"/>
  <c r="BT134" i="13"/>
  <c r="BT130" i="13"/>
  <c r="BT126" i="13"/>
  <c r="BT119" i="13"/>
  <c r="BT115" i="13"/>
  <c r="BT107" i="13"/>
  <c r="BT103" i="13"/>
  <c r="BT96" i="13"/>
  <c r="BT92" i="13"/>
  <c r="BT88" i="13"/>
  <c r="BT84" i="13"/>
  <c r="BT80" i="13"/>
  <c r="BT76" i="13"/>
  <c r="BT71" i="13"/>
  <c r="BT64" i="13"/>
  <c r="BT60" i="13"/>
  <c r="BT56" i="13"/>
  <c r="BT52" i="13"/>
  <c r="BT47" i="13"/>
  <c r="BT43" i="13"/>
  <c r="BT39" i="13"/>
  <c r="BT32" i="13"/>
  <c r="BR116" i="13"/>
  <c r="BR40" i="13"/>
  <c r="BR30" i="13"/>
  <c r="BR17" i="13"/>
  <c r="BT28" i="13"/>
  <c r="BT21" i="13"/>
  <c r="BT15" i="13"/>
  <c r="BR192" i="13"/>
  <c r="BS155" i="13"/>
  <c r="BS142" i="13"/>
  <c r="BS138" i="13"/>
  <c r="BS134" i="13"/>
  <c r="BS130" i="13"/>
  <c r="BS126" i="13"/>
  <c r="BS119" i="13"/>
  <c r="BS115" i="13"/>
  <c r="BS107" i="13"/>
  <c r="BS103" i="13"/>
  <c r="BS96" i="13"/>
  <c r="BS92" i="13"/>
  <c r="BS88" i="13"/>
  <c r="BS84" i="13"/>
  <c r="BS80" i="13"/>
  <c r="BS76" i="13"/>
  <c r="BS71" i="13"/>
  <c r="BS64" i="13"/>
  <c r="BS60" i="13"/>
  <c r="BS56" i="13"/>
  <c r="BS52" i="13"/>
  <c r="BS47" i="13"/>
  <c r="BS43" i="13"/>
  <c r="BS39" i="13"/>
  <c r="BS32" i="13"/>
  <c r="BT16" i="13"/>
  <c r="BR143" i="13"/>
  <c r="BR29" i="13"/>
  <c r="BS28" i="13"/>
  <c r="BS21" i="13"/>
  <c r="BS15" i="13"/>
  <c r="BT186" i="13"/>
  <c r="BR131" i="13"/>
  <c r="BT27" i="13"/>
  <c r="BT20" i="13"/>
  <c r="BT14" i="13"/>
  <c r="BS183" i="13"/>
  <c r="BT148" i="13"/>
  <c r="BT141" i="13"/>
  <c r="BT137" i="13"/>
  <c r="BT133" i="13"/>
  <c r="BT122" i="13"/>
  <c r="BT118" i="13"/>
  <c r="BT113" i="13"/>
  <c r="BT106" i="13"/>
  <c r="BT95" i="13"/>
  <c r="BT91" i="13"/>
  <c r="BT87" i="13"/>
  <c r="BT83" i="13"/>
  <c r="BT79" i="13"/>
  <c r="BT75" i="13"/>
  <c r="BT70" i="13"/>
  <c r="BT63" i="13"/>
  <c r="BT59" i="13"/>
  <c r="BT55" i="13"/>
  <c r="BT51" i="13"/>
  <c r="BT46" i="13"/>
  <c r="BT42" i="13"/>
  <c r="BT35" i="13"/>
  <c r="BT31" i="13"/>
  <c r="BR27" i="13"/>
  <c r="BR14" i="13"/>
  <c r="BS148" i="13"/>
  <c r="BS141" i="13"/>
  <c r="BS137" i="13"/>
  <c r="BS133" i="13"/>
  <c r="BS122" i="13"/>
  <c r="BS118" i="13"/>
  <c r="BS113" i="13"/>
  <c r="BS106" i="13"/>
  <c r="BS95" i="13"/>
  <c r="BS91" i="13"/>
  <c r="BS87" i="13"/>
  <c r="BS83" i="13"/>
  <c r="BS79" i="13"/>
  <c r="BS75" i="13"/>
  <c r="BS70" i="13"/>
  <c r="BS63" i="13"/>
  <c r="BS59" i="13"/>
  <c r="BS55" i="13"/>
  <c r="BS51" i="13"/>
  <c r="BS46" i="13"/>
  <c r="BS42" i="13"/>
  <c r="BS35" i="13"/>
  <c r="BS31" i="13"/>
  <c r="BR26" i="13"/>
  <c r="BR13" i="13"/>
  <c r="BT19" i="13"/>
  <c r="BT161" i="13"/>
  <c r="BR10" i="13"/>
  <c r="BT159" i="13"/>
  <c r="BT144" i="13"/>
  <c r="BT136" i="13"/>
  <c r="BT132" i="13"/>
  <c r="BT121" i="13"/>
  <c r="BT117" i="13"/>
  <c r="BT105" i="13"/>
  <c r="BT90" i="13"/>
  <c r="BT86" i="13"/>
  <c r="BT78" i="13"/>
  <c r="BT74" i="13"/>
  <c r="BT62" i="13"/>
  <c r="BT50" i="13"/>
  <c r="BT41" i="13"/>
  <c r="BT34" i="13"/>
  <c r="BS10" i="13"/>
  <c r="BT18" i="13"/>
  <c r="BT11" i="13"/>
  <c r="BS159" i="13"/>
  <c r="BS144" i="13"/>
  <c r="BS136" i="13"/>
  <c r="BS132" i="13"/>
  <c r="BS121" i="13"/>
  <c r="BS117" i="13"/>
  <c r="BS105" i="13"/>
  <c r="BS90" i="13"/>
  <c r="BS86" i="13"/>
  <c r="BS78" i="13"/>
  <c r="BS74" i="13"/>
  <c r="BS62" i="13"/>
  <c r="BS50" i="13"/>
  <c r="BS41" i="13"/>
  <c r="BS34" i="13"/>
  <c r="BT226" i="13"/>
  <c r="BS226" i="13"/>
  <c r="BS207" i="13"/>
  <c r="BT191" i="13"/>
  <c r="BR179" i="13"/>
  <c r="BS161" i="13"/>
  <c r="BR243" i="13"/>
  <c r="BT249" i="13"/>
  <c r="BR207" i="13"/>
  <c r="BS191" i="13"/>
  <c r="BS171" i="13"/>
  <c r="BS222" i="13"/>
  <c r="BT206" i="13"/>
  <c r="BR171" i="13"/>
  <c r="BT160" i="13"/>
  <c r="BS179" i="13"/>
  <c r="BS243" i="13"/>
  <c r="BR222" i="13"/>
  <c r="BS206" i="13"/>
  <c r="BS187" i="13"/>
  <c r="BS160" i="13"/>
  <c r="BT221" i="13"/>
  <c r="BR187" i="13"/>
  <c r="BS249" i="13"/>
  <c r="BS211" i="13"/>
  <c r="BT195" i="13"/>
  <c r="BR183" i="13"/>
  <c r="BR164" i="13"/>
  <c r="BR221" i="13"/>
  <c r="BR211" i="13"/>
  <c r="BS195" i="13"/>
  <c r="BT182" i="13"/>
  <c r="BT163" i="13"/>
  <c r="BT248" i="13"/>
  <c r="BT237" i="13"/>
  <c r="BS227" i="13"/>
  <c r="BT210" i="13"/>
  <c r="BS182" i="13"/>
  <c r="BS163" i="13"/>
  <c r="BS248" i="13"/>
  <c r="BS164" i="13"/>
  <c r="BS237" i="13"/>
  <c r="BR227" i="13"/>
  <c r="BS192" i="13"/>
  <c r="BT217" i="13"/>
  <c r="BT234" i="13"/>
  <c r="BR246" i="13"/>
  <c r="BR203" i="13"/>
  <c r="BR230" i="13"/>
  <c r="BR176" i="13"/>
  <c r="BT229" i="13"/>
  <c r="BT224" i="13"/>
  <c r="BT220" i="13"/>
  <c r="BT213" i="13"/>
  <c r="BT209" i="13"/>
  <c r="BT205" i="13"/>
  <c r="BT201" i="13"/>
  <c r="BT194" i="13"/>
  <c r="BT190" i="13"/>
  <c r="BT185" i="13"/>
  <c r="BT181" i="13"/>
  <c r="BT175" i="13"/>
  <c r="BT169" i="13"/>
  <c r="BT162" i="13"/>
  <c r="BT245" i="13"/>
  <c r="BT241" i="13"/>
  <c r="BT236" i="13"/>
  <c r="BR234" i="13"/>
  <c r="BS217" i="13"/>
  <c r="BR202" i="13"/>
  <c r="BS229" i="13"/>
  <c r="BS224" i="13"/>
  <c r="BS220" i="13"/>
  <c r="BS213" i="13"/>
  <c r="BS209" i="13"/>
  <c r="BS205" i="13"/>
  <c r="BS201" i="13"/>
  <c r="BS194" i="13"/>
  <c r="BS190" i="13"/>
  <c r="BS185" i="13"/>
  <c r="BS181" i="13"/>
  <c r="BS175" i="13"/>
  <c r="BS169" i="13"/>
  <c r="BS162" i="13"/>
  <c r="BS245" i="13"/>
  <c r="BS241" i="13"/>
  <c r="BS236" i="13"/>
  <c r="BT228" i="13"/>
  <c r="BT223" i="13"/>
  <c r="BT219" i="13"/>
  <c r="BT212" i="13"/>
  <c r="BT208" i="13"/>
  <c r="BT204" i="13"/>
  <c r="BT200" i="13"/>
  <c r="BT193" i="13"/>
  <c r="BT189" i="13"/>
  <c r="BT184" i="13"/>
  <c r="BT180" i="13"/>
  <c r="BT172" i="13"/>
  <c r="BT165" i="13"/>
  <c r="BT244" i="13"/>
  <c r="BT240" i="13"/>
  <c r="BT246" i="13"/>
  <c r="BS228" i="13"/>
  <c r="BS223" i="13"/>
  <c r="BS219" i="13"/>
  <c r="BS212" i="13"/>
  <c r="BS208" i="13"/>
  <c r="BS204" i="13"/>
  <c r="BS200" i="13"/>
  <c r="BS193" i="13"/>
  <c r="BS189" i="13"/>
  <c r="BS184" i="13"/>
  <c r="BS180" i="13"/>
  <c r="BS172" i="13"/>
  <c r="BS165" i="13"/>
  <c r="BS244" i="13"/>
  <c r="BS240" i="13"/>
  <c r="BR218" i="13"/>
  <c r="BR247" i="13"/>
  <c r="BT202" i="13"/>
  <c r="BS230" i="13"/>
  <c r="BS176" i="13"/>
  <c r="BS186" i="13"/>
  <c r="BT218" i="13"/>
  <c r="BT203" i="13"/>
  <c r="BT247" i="13"/>
  <c r="BS340" i="13" l="1"/>
  <c r="AF189" i="5"/>
  <c r="AE189" i="5"/>
  <c r="AD189" i="5"/>
  <c r="BJ195" i="13"/>
  <c r="BK195" i="13" s="1"/>
  <c r="BG195" i="13"/>
  <c r="BH195" i="13" s="1"/>
  <c r="BD195" i="13"/>
  <c r="BE195" i="13" s="1"/>
  <c r="B195" i="13"/>
  <c r="U122" i="13" l="1"/>
  <c r="U121" i="13" s="1"/>
  <c r="BJ40" i="13"/>
  <c r="BK40" i="13" s="1"/>
  <c r="BG40" i="13"/>
  <c r="BH40" i="13" s="1"/>
  <c r="BD40" i="13"/>
  <c r="BE40" i="13" s="1"/>
  <c r="AF39" i="5"/>
  <c r="AE39" i="5"/>
  <c r="AD39" i="5"/>
  <c r="C39" i="5"/>
  <c r="D39" i="21" s="1"/>
  <c r="C41" i="5"/>
  <c r="D41" i="21" s="1"/>
  <c r="K39" i="13"/>
  <c r="BJ178" i="13" l="1"/>
  <c r="BK178" i="13" s="1"/>
  <c r="BG178" i="13"/>
  <c r="BH178" i="13" s="1"/>
  <c r="BD178" i="13"/>
  <c r="BE178" i="13" s="1"/>
  <c r="BJ177" i="13"/>
  <c r="BK177" i="13" s="1"/>
  <c r="BG177" i="13"/>
  <c r="BH177" i="13" s="1"/>
  <c r="BD177" i="13"/>
  <c r="BE177" i="13" s="1"/>
  <c r="AI259" i="13"/>
  <c r="AI258" i="13"/>
  <c r="AF15" i="5" l="1"/>
  <c r="AE15" i="5"/>
  <c r="AD15" i="5"/>
  <c r="H158" i="16"/>
  <c r="H140" i="16"/>
  <c r="H139" i="16"/>
  <c r="H21" i="16"/>
  <c r="H20" i="16"/>
  <c r="H19" i="16"/>
  <c r="U88" i="13"/>
  <c r="U87" i="13"/>
  <c r="H86" i="16"/>
  <c r="H85" i="16"/>
  <c r="H7" i="16"/>
  <c r="U85" i="13"/>
  <c r="U84" i="13"/>
  <c r="U83" i="13" l="1"/>
  <c r="AF99" i="5"/>
  <c r="AE99" i="5"/>
  <c r="AD99" i="5"/>
  <c r="BJ88" i="13"/>
  <c r="BK88" i="13" s="1"/>
  <c r="BG88" i="13"/>
  <c r="BH88" i="13" s="1"/>
  <c r="BD88" i="13"/>
  <c r="BE88" i="13" s="1"/>
  <c r="AF85" i="5"/>
  <c r="AE85" i="5"/>
  <c r="AD85" i="5"/>
  <c r="C85" i="5"/>
  <c r="D85" i="21" s="1"/>
  <c r="B88" i="13"/>
  <c r="Z88" i="13" s="1"/>
  <c r="H75" i="13"/>
  <c r="N59" i="13"/>
  <c r="M59" i="13"/>
  <c r="H59" i="13"/>
  <c r="N56" i="13"/>
  <c r="M56" i="13"/>
  <c r="H56" i="13"/>
  <c r="AF26" i="5"/>
  <c r="AE26" i="5"/>
  <c r="AD26" i="5"/>
  <c r="AF25" i="5"/>
  <c r="AE25" i="5"/>
  <c r="AD25" i="5"/>
  <c r="B23" i="13"/>
  <c r="B24" i="13"/>
  <c r="AF197" i="5" l="1"/>
  <c r="AE197" i="5"/>
  <c r="AD197" i="5"/>
  <c r="L187" i="13"/>
  <c r="BJ143" i="13"/>
  <c r="BK143" i="13" s="1"/>
  <c r="BG143" i="13"/>
  <c r="BH143" i="13" s="1"/>
  <c r="BD143" i="13"/>
  <c r="BE143" i="13" s="1"/>
  <c r="AF135" i="5"/>
  <c r="AE135" i="5"/>
  <c r="AD135" i="5"/>
  <c r="H137" i="16"/>
  <c r="R138" i="13"/>
  <c r="P138" i="13"/>
  <c r="O138" i="13"/>
  <c r="N138" i="13"/>
  <c r="M138" i="13"/>
  <c r="L138" i="13"/>
  <c r="K138" i="13"/>
  <c r="J138" i="13"/>
  <c r="I138" i="13"/>
  <c r="H138" i="13"/>
  <c r="G138" i="13"/>
  <c r="F138" i="13"/>
  <c r="B143" i="13"/>
  <c r="H8" i="16" l="1"/>
  <c r="H9" i="16"/>
  <c r="H10" i="16"/>
  <c r="H11" i="16"/>
  <c r="H12" i="16"/>
  <c r="H13" i="16"/>
  <c r="H14" i="16"/>
  <c r="H15" i="16"/>
  <c r="H16" i="16"/>
  <c r="H17" i="16"/>
  <c r="H18" i="16"/>
  <c r="Z23" i="13"/>
  <c r="Z24" i="13"/>
  <c r="H23" i="16"/>
  <c r="H24" i="16"/>
  <c r="H25" i="16"/>
  <c r="H26" i="16"/>
  <c r="H27" i="16"/>
  <c r="H28" i="16"/>
  <c r="H29" i="16"/>
  <c r="H30" i="16"/>
  <c r="H31" i="16"/>
  <c r="H32" i="16"/>
  <c r="H33" i="16"/>
  <c r="H34" i="16"/>
  <c r="H35" i="16"/>
  <c r="H36"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9" i="16"/>
  <c r="H80" i="16"/>
  <c r="H81" i="16"/>
  <c r="H82" i="16"/>
  <c r="H83" i="16"/>
  <c r="H84"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H116" i="16"/>
  <c r="H117" i="16"/>
  <c r="H118" i="16"/>
  <c r="H119" i="16"/>
  <c r="H120" i="16"/>
  <c r="H121" i="16"/>
  <c r="H122" i="16"/>
  <c r="H123" i="16"/>
  <c r="H124" i="16"/>
  <c r="H125" i="16"/>
  <c r="H126" i="16"/>
  <c r="H127" i="16"/>
  <c r="H128" i="16"/>
  <c r="H129" i="16"/>
  <c r="H130" i="16"/>
  <c r="H131" i="16"/>
  <c r="H132" i="16"/>
  <c r="H133" i="16"/>
  <c r="H134" i="16"/>
  <c r="H135" i="16"/>
  <c r="H136" i="16"/>
  <c r="H138" i="16"/>
  <c r="Z143" i="13"/>
  <c r="H141" i="16"/>
  <c r="H142" i="16"/>
  <c r="H143" i="16"/>
  <c r="H144" i="16"/>
  <c r="H145" i="16"/>
  <c r="H146" i="16"/>
  <c r="H147" i="16"/>
  <c r="H148" i="16"/>
  <c r="H149" i="16"/>
  <c r="H150" i="16"/>
  <c r="H151" i="16"/>
  <c r="H152" i="16"/>
  <c r="H153" i="16"/>
  <c r="H154" i="16"/>
  <c r="H155" i="16"/>
  <c r="H156" i="16"/>
  <c r="H157" i="16"/>
  <c r="H159" i="16"/>
  <c r="H160" i="16"/>
  <c r="H161" i="16"/>
  <c r="H162" i="16"/>
  <c r="H163" i="16"/>
  <c r="H164" i="16"/>
  <c r="H165" i="16"/>
  <c r="H166" i="16"/>
  <c r="H167" i="16"/>
  <c r="H168" i="16"/>
  <c r="H169" i="16"/>
  <c r="H170" i="16"/>
  <c r="H171" i="16"/>
  <c r="H172" i="16"/>
  <c r="H173" i="16"/>
  <c r="H174" i="16"/>
  <c r="H175" i="16"/>
  <c r="H176" i="16"/>
  <c r="H177" i="16"/>
  <c r="H178" i="16"/>
  <c r="H179" i="16"/>
  <c r="H180" i="16"/>
  <c r="H181" i="16"/>
  <c r="H182" i="16"/>
  <c r="H183" i="16"/>
  <c r="H184" i="16"/>
  <c r="H185" i="16"/>
  <c r="H186" i="16"/>
  <c r="H187" i="16"/>
  <c r="H188" i="16"/>
  <c r="H189" i="16"/>
  <c r="H190" i="16"/>
  <c r="H191" i="16"/>
  <c r="H193" i="16"/>
  <c r="Z195" i="13" s="1"/>
  <c r="H194" i="16"/>
  <c r="H195" i="16"/>
  <c r="H196" i="16"/>
  <c r="H197" i="16"/>
  <c r="H198" i="16"/>
  <c r="H200" i="16" s="1"/>
  <c r="H201" i="16"/>
  <c r="H202" i="16"/>
  <c r="H203" i="16" s="1"/>
  <c r="H204" i="16"/>
  <c r="H205" i="16"/>
  <c r="H206" i="16"/>
  <c r="H207" i="16" s="1"/>
  <c r="H208" i="16"/>
  <c r="H209" i="16"/>
  <c r="H210" i="16" s="1"/>
  <c r="H211" i="16"/>
  <c r="H212" i="16"/>
  <c r="H213" i="16"/>
  <c r="H214" i="16"/>
  <c r="H215" i="16"/>
  <c r="H216" i="16"/>
  <c r="H217" i="16"/>
  <c r="H218" i="16"/>
  <c r="H219" i="16"/>
  <c r="H220" i="16"/>
  <c r="H221" i="16"/>
  <c r="H222" i="16"/>
  <c r="H223" i="16"/>
  <c r="H224" i="16"/>
  <c r="H225" i="16"/>
  <c r="H226" i="16"/>
  <c r="H227" i="16"/>
  <c r="H228" i="16"/>
  <c r="H229" i="16"/>
  <c r="H230" i="16"/>
  <c r="H231" i="16"/>
  <c r="H232" i="16"/>
  <c r="H233" i="16"/>
  <c r="H234" i="16"/>
  <c r="H235" i="16"/>
  <c r="H236" i="16"/>
  <c r="H237" i="16"/>
  <c r="H238" i="16"/>
  <c r="H239" i="16"/>
  <c r="H240" i="16"/>
  <c r="H241" i="16"/>
  <c r="BJ213" i="13"/>
  <c r="BK213" i="13" s="1"/>
  <c r="BG213" i="13"/>
  <c r="BH213" i="13" s="1"/>
  <c r="BD213" i="13"/>
  <c r="BE213" i="13" s="1"/>
  <c r="BJ212" i="13"/>
  <c r="BK212" i="13" s="1"/>
  <c r="BG212" i="13"/>
  <c r="BH212" i="13" s="1"/>
  <c r="BD212" i="13"/>
  <c r="BE212" i="13" s="1"/>
  <c r="BJ196" i="13"/>
  <c r="BK196" i="13" s="1"/>
  <c r="BG196" i="13"/>
  <c r="BH196" i="13" s="1"/>
  <c r="BD196" i="13"/>
  <c r="BE196" i="13" s="1"/>
  <c r="BJ194" i="13"/>
  <c r="BK194" i="13" s="1"/>
  <c r="BG194" i="13"/>
  <c r="BH194" i="13" s="1"/>
  <c r="BD194" i="13"/>
  <c r="BE194" i="13" s="1"/>
  <c r="BJ193" i="13"/>
  <c r="BK193" i="13" s="1"/>
  <c r="BG193" i="13"/>
  <c r="BH193" i="13" s="1"/>
  <c r="BD193" i="13"/>
  <c r="BE193" i="13" s="1"/>
  <c r="BJ149" i="13"/>
  <c r="BK149" i="13" s="1"/>
  <c r="BG149" i="13"/>
  <c r="BH149" i="13" s="1"/>
  <c r="BD149" i="13"/>
  <c r="BE149" i="13" s="1"/>
  <c r="AF198" i="5"/>
  <c r="AE198" i="5"/>
  <c r="AD198" i="5"/>
  <c r="AF196" i="5"/>
  <c r="AE196" i="5"/>
  <c r="AD196" i="5"/>
  <c r="BD205" i="13"/>
  <c r="BE205" i="13" s="1"/>
  <c r="BG205" i="13"/>
  <c r="BH205" i="13" s="1"/>
  <c r="BJ205" i="13"/>
  <c r="BK205" i="13" s="1"/>
  <c r="BD206" i="13"/>
  <c r="BE206" i="13" s="1"/>
  <c r="BG206" i="13"/>
  <c r="BH206" i="13" s="1"/>
  <c r="BJ206" i="13"/>
  <c r="BK206" i="13" s="1"/>
  <c r="BD209" i="13"/>
  <c r="BE209" i="13" s="1"/>
  <c r="BG209" i="13"/>
  <c r="BH209" i="13" s="1"/>
  <c r="BJ209" i="13"/>
  <c r="BK209" i="13" s="1"/>
  <c r="BD210" i="13"/>
  <c r="BE210" i="13" s="1"/>
  <c r="BG210" i="13"/>
  <c r="BH210" i="13" s="1"/>
  <c r="BJ210" i="13"/>
  <c r="BK210" i="13" s="1"/>
  <c r="BD201" i="13"/>
  <c r="BE201" i="13" s="1"/>
  <c r="BG201" i="13"/>
  <c r="BH201" i="13" s="1"/>
  <c r="BJ201" i="13"/>
  <c r="BK201" i="13" s="1"/>
  <c r="BD202" i="13"/>
  <c r="BE202" i="13" s="1"/>
  <c r="BG202" i="13"/>
  <c r="BH202" i="13" s="1"/>
  <c r="BJ202" i="13"/>
  <c r="BK202" i="13" s="1"/>
  <c r="BD203" i="13"/>
  <c r="BE203" i="13" s="1"/>
  <c r="BG203" i="13"/>
  <c r="BH203" i="13" s="1"/>
  <c r="BJ203" i="13"/>
  <c r="BK203" i="13" s="1"/>
  <c r="BD172" i="13"/>
  <c r="BE172" i="13" s="1"/>
  <c r="BG172" i="13"/>
  <c r="BH172" i="13" s="1"/>
  <c r="BJ172" i="13"/>
  <c r="BK172" i="13" s="1"/>
  <c r="BD174" i="13"/>
  <c r="BE174" i="13" s="1"/>
  <c r="BG174" i="13"/>
  <c r="BH174" i="13" s="1"/>
  <c r="BJ174" i="13"/>
  <c r="BK174" i="13" s="1"/>
  <c r="BD176" i="13"/>
  <c r="BE176" i="13" s="1"/>
  <c r="BG176" i="13"/>
  <c r="BH176" i="13" s="1"/>
  <c r="BJ176" i="13"/>
  <c r="BK176" i="13" s="1"/>
  <c r="BD180" i="13"/>
  <c r="BE180" i="13" s="1"/>
  <c r="BG180" i="13"/>
  <c r="BH180" i="13" s="1"/>
  <c r="BJ180" i="13"/>
  <c r="BK180" i="13" s="1"/>
  <c r="BD182" i="13"/>
  <c r="BE182" i="13" s="1"/>
  <c r="BG182" i="13"/>
  <c r="BH182" i="13" s="1"/>
  <c r="BJ182" i="13"/>
  <c r="BK182" i="13" s="1"/>
  <c r="BD184" i="13"/>
  <c r="BE184" i="13" s="1"/>
  <c r="BG184" i="13"/>
  <c r="BH184" i="13" s="1"/>
  <c r="BJ184" i="13"/>
  <c r="BK184" i="13" s="1"/>
  <c r="BD185" i="13"/>
  <c r="BE185" i="13" s="1"/>
  <c r="BG185" i="13"/>
  <c r="BH185" i="13" s="1"/>
  <c r="BJ185" i="13"/>
  <c r="BK185" i="13" s="1"/>
  <c r="BD186" i="13"/>
  <c r="BE186" i="13" s="1"/>
  <c r="BG186" i="13"/>
  <c r="BH186" i="13" s="1"/>
  <c r="BJ186" i="13"/>
  <c r="BK186" i="13" s="1"/>
  <c r="BD190" i="13"/>
  <c r="BE190" i="13" s="1"/>
  <c r="BG190" i="13"/>
  <c r="BH190" i="13" s="1"/>
  <c r="BJ190" i="13"/>
  <c r="BK190" i="13" s="1"/>
  <c r="BD191" i="13"/>
  <c r="BE191" i="13" s="1"/>
  <c r="BG191" i="13"/>
  <c r="BH191" i="13" s="1"/>
  <c r="BJ191" i="13"/>
  <c r="BK191" i="13" s="1"/>
  <c r="BD170" i="13"/>
  <c r="BE170" i="13" s="1"/>
  <c r="BG170" i="13"/>
  <c r="BH170" i="13" s="1"/>
  <c r="BJ170" i="13"/>
  <c r="BK170" i="13" s="1"/>
  <c r="BD162" i="13"/>
  <c r="BE162" i="13" s="1"/>
  <c r="BG162" i="13"/>
  <c r="BH162" i="13" s="1"/>
  <c r="BJ162" i="13"/>
  <c r="BK162" i="13" s="1"/>
  <c r="BD131" i="13"/>
  <c r="BE131" i="13" s="1"/>
  <c r="BG131" i="13"/>
  <c r="BH131" i="13" s="1"/>
  <c r="BJ131" i="13"/>
  <c r="BK131" i="13" s="1"/>
  <c r="BD132" i="13"/>
  <c r="BE132" i="13" s="1"/>
  <c r="BG132" i="13"/>
  <c r="BH132" i="13" s="1"/>
  <c r="BJ132" i="13"/>
  <c r="BK132" i="13" s="1"/>
  <c r="BD133" i="13"/>
  <c r="BE133" i="13" s="1"/>
  <c r="BG133" i="13"/>
  <c r="BH133" i="13" s="1"/>
  <c r="BJ133" i="13"/>
  <c r="BK133" i="13" s="1"/>
  <c r="BD135" i="13"/>
  <c r="BE135" i="13" s="1"/>
  <c r="BG135" i="13"/>
  <c r="BH135" i="13" s="1"/>
  <c r="BJ135" i="13"/>
  <c r="BK135" i="13" s="1"/>
  <c r="BD136" i="13"/>
  <c r="BE136" i="13" s="1"/>
  <c r="BG136" i="13"/>
  <c r="BH136" i="13" s="1"/>
  <c r="BJ136" i="13"/>
  <c r="BK136" i="13" s="1"/>
  <c r="BD137" i="13"/>
  <c r="BE137" i="13" s="1"/>
  <c r="BG137" i="13"/>
  <c r="BH137" i="13" s="1"/>
  <c r="BJ137" i="13"/>
  <c r="BK137" i="13" s="1"/>
  <c r="BD139" i="13"/>
  <c r="BE139" i="13" s="1"/>
  <c r="BG139" i="13"/>
  <c r="BH139" i="13" s="1"/>
  <c r="BJ139" i="13"/>
  <c r="BK139" i="13" s="1"/>
  <c r="BD140" i="13"/>
  <c r="BE140" i="13" s="1"/>
  <c r="BG140" i="13"/>
  <c r="BH140" i="13" s="1"/>
  <c r="BJ140" i="13"/>
  <c r="BK140" i="13" s="1"/>
  <c r="BD141" i="13"/>
  <c r="BE141" i="13" s="1"/>
  <c r="BG141" i="13"/>
  <c r="BH141" i="13" s="1"/>
  <c r="BJ141" i="13"/>
  <c r="BK141" i="13" s="1"/>
  <c r="BD146" i="13"/>
  <c r="BE146" i="13" s="1"/>
  <c r="BG146" i="13"/>
  <c r="BH146" i="13" s="1"/>
  <c r="BJ146" i="13"/>
  <c r="BK146" i="13" s="1"/>
  <c r="BD147" i="13"/>
  <c r="BE147" i="13" s="1"/>
  <c r="BG147" i="13"/>
  <c r="BH147" i="13" s="1"/>
  <c r="BJ147" i="13"/>
  <c r="BK147" i="13" s="1"/>
  <c r="BD127" i="13"/>
  <c r="BE127" i="13" s="1"/>
  <c r="BG127" i="13"/>
  <c r="BH127" i="13" s="1"/>
  <c r="BJ127" i="13"/>
  <c r="BK127" i="13" s="1"/>
  <c r="BD129" i="13"/>
  <c r="BE129" i="13" s="1"/>
  <c r="BG129" i="13"/>
  <c r="BH129" i="13" s="1"/>
  <c r="BJ129" i="13"/>
  <c r="BK129" i="13" s="1"/>
  <c r="BD116" i="13"/>
  <c r="BE116" i="13" s="1"/>
  <c r="BG116" i="13"/>
  <c r="BH116" i="13" s="1"/>
  <c r="BJ116" i="13"/>
  <c r="BK116" i="13" s="1"/>
  <c r="BD118" i="13"/>
  <c r="BE118" i="13" s="1"/>
  <c r="BG118" i="13"/>
  <c r="BH118" i="13" s="1"/>
  <c r="BJ118" i="13"/>
  <c r="BK118" i="13" s="1"/>
  <c r="BD119" i="13"/>
  <c r="BE119" i="13" s="1"/>
  <c r="BG119" i="13"/>
  <c r="BH119" i="13" s="1"/>
  <c r="BJ119" i="13"/>
  <c r="BK119" i="13" s="1"/>
  <c r="BD120" i="13"/>
  <c r="BE120" i="13" s="1"/>
  <c r="BG120" i="13"/>
  <c r="BH120" i="13" s="1"/>
  <c r="BJ120" i="13"/>
  <c r="BK120" i="13" s="1"/>
  <c r="BD101" i="13"/>
  <c r="BE101" i="13" s="1"/>
  <c r="BG101" i="13"/>
  <c r="BH101" i="13" s="1"/>
  <c r="BJ101" i="13"/>
  <c r="BK101" i="13" s="1"/>
  <c r="BD104" i="13"/>
  <c r="BE104" i="13" s="1"/>
  <c r="BG104" i="13"/>
  <c r="BH104" i="13" s="1"/>
  <c r="BJ104" i="13"/>
  <c r="BK104" i="13" s="1"/>
  <c r="BD105" i="13"/>
  <c r="BE105" i="13" s="1"/>
  <c r="BG105" i="13"/>
  <c r="BH105" i="13" s="1"/>
  <c r="BJ105" i="13"/>
  <c r="BK105" i="13" s="1"/>
  <c r="BD76" i="13"/>
  <c r="BE76" i="13" s="1"/>
  <c r="BG76" i="13"/>
  <c r="BH76" i="13" s="1"/>
  <c r="BJ76" i="13"/>
  <c r="BK76" i="13" s="1"/>
  <c r="BD77" i="13"/>
  <c r="BE77" i="13" s="1"/>
  <c r="BG77" i="13"/>
  <c r="BH77" i="13" s="1"/>
  <c r="BJ77" i="13"/>
  <c r="BK77" i="13" s="1"/>
  <c r="BD78" i="13"/>
  <c r="BE78" i="13" s="1"/>
  <c r="BG78" i="13"/>
  <c r="BH78" i="13" s="1"/>
  <c r="BJ78" i="13"/>
  <c r="BK78" i="13" s="1"/>
  <c r="BD80" i="13"/>
  <c r="BE80" i="13" s="1"/>
  <c r="BG80" i="13"/>
  <c r="BH80" i="13" s="1"/>
  <c r="BJ80" i="13"/>
  <c r="BK80" i="13" s="1"/>
  <c r="BD81" i="13"/>
  <c r="BE81" i="13" s="1"/>
  <c r="BG81" i="13"/>
  <c r="BH81" i="13" s="1"/>
  <c r="BJ81" i="13"/>
  <c r="BK81" i="13" s="1"/>
  <c r="BD84" i="13"/>
  <c r="BE84" i="13" s="1"/>
  <c r="BG84" i="13"/>
  <c r="BH84" i="13" s="1"/>
  <c r="BJ84" i="13"/>
  <c r="BK84" i="13" s="1"/>
  <c r="BD85" i="13"/>
  <c r="BE85" i="13" s="1"/>
  <c r="BG85" i="13"/>
  <c r="BH85" i="13" s="1"/>
  <c r="BJ85" i="13"/>
  <c r="BK85" i="13" s="1"/>
  <c r="BD87" i="13"/>
  <c r="BE87" i="13" s="1"/>
  <c r="BG87" i="13"/>
  <c r="BH87" i="13" s="1"/>
  <c r="BJ87" i="13"/>
  <c r="BK87" i="13" s="1"/>
  <c r="BD89" i="13"/>
  <c r="BE89" i="13" s="1"/>
  <c r="BG89" i="13"/>
  <c r="BH89" i="13" s="1"/>
  <c r="BJ89" i="13"/>
  <c r="BK89" i="13" s="1"/>
  <c r="BD92" i="13"/>
  <c r="BE92" i="13" s="1"/>
  <c r="BG92" i="13"/>
  <c r="BH92" i="13" s="1"/>
  <c r="BJ92" i="13"/>
  <c r="BK92" i="13" s="1"/>
  <c r="BD94" i="13"/>
  <c r="BE94" i="13" s="1"/>
  <c r="BG94" i="13"/>
  <c r="BH94" i="13" s="1"/>
  <c r="BJ94" i="13"/>
  <c r="BK94" i="13" s="1"/>
  <c r="BD70" i="13"/>
  <c r="BE70" i="13" s="1"/>
  <c r="BG70" i="13"/>
  <c r="BH70" i="13" s="1"/>
  <c r="BJ70" i="13"/>
  <c r="BK70" i="13" s="1"/>
  <c r="BD71" i="13"/>
  <c r="BE71" i="13" s="1"/>
  <c r="BG71" i="13"/>
  <c r="BH71" i="13" s="1"/>
  <c r="BJ71" i="13"/>
  <c r="BK71" i="13" s="1"/>
  <c r="BD74" i="13"/>
  <c r="BE74" i="13" s="1"/>
  <c r="BG74" i="13"/>
  <c r="BH74" i="13" s="1"/>
  <c r="BJ74" i="13"/>
  <c r="BK74" i="13" s="1"/>
  <c r="BD47" i="13"/>
  <c r="BE47" i="13" s="1"/>
  <c r="BG47" i="13"/>
  <c r="BH47" i="13" s="1"/>
  <c r="BJ47" i="13"/>
  <c r="BK47" i="13" s="1"/>
  <c r="BD48" i="13"/>
  <c r="BE48" i="13" s="1"/>
  <c r="BG48" i="13"/>
  <c r="BH48" i="13" s="1"/>
  <c r="BJ48" i="13"/>
  <c r="BK48" i="13" s="1"/>
  <c r="BD50" i="13"/>
  <c r="BE50" i="13" s="1"/>
  <c r="BG50" i="13"/>
  <c r="BH50" i="13" s="1"/>
  <c r="BJ50" i="13"/>
  <c r="BK50" i="13" s="1"/>
  <c r="BD52" i="13"/>
  <c r="BE52" i="13" s="1"/>
  <c r="BG52" i="13"/>
  <c r="BH52" i="13" s="1"/>
  <c r="BJ52" i="13"/>
  <c r="BK52" i="13" s="1"/>
  <c r="BD53" i="13"/>
  <c r="BE53" i="13" s="1"/>
  <c r="BG53" i="13"/>
  <c r="BH53" i="13" s="1"/>
  <c r="BJ53" i="13"/>
  <c r="BK53" i="13" s="1"/>
  <c r="BD54" i="13"/>
  <c r="BE54" i="13" s="1"/>
  <c r="BG54" i="13"/>
  <c r="BH54" i="13" s="1"/>
  <c r="BJ54" i="13"/>
  <c r="BK54" i="13" s="1"/>
  <c r="BD57" i="13"/>
  <c r="BE57" i="13" s="1"/>
  <c r="BG57" i="13"/>
  <c r="BH57" i="13" s="1"/>
  <c r="BJ57" i="13"/>
  <c r="BK57" i="13" s="1"/>
  <c r="BD58" i="13"/>
  <c r="BE58" i="13" s="1"/>
  <c r="BG58" i="13"/>
  <c r="BH58" i="13" s="1"/>
  <c r="BJ58" i="13"/>
  <c r="BK58" i="13" s="1"/>
  <c r="BD60" i="13"/>
  <c r="BE60" i="13" s="1"/>
  <c r="BG60" i="13"/>
  <c r="BH60" i="13" s="1"/>
  <c r="BJ60" i="13"/>
  <c r="BK60" i="13" s="1"/>
  <c r="BD61" i="13"/>
  <c r="BE61" i="13" s="1"/>
  <c r="BG61" i="13"/>
  <c r="BH61" i="13" s="1"/>
  <c r="BJ61" i="13"/>
  <c r="BK61" i="13" s="1"/>
  <c r="BD64" i="13"/>
  <c r="BE64" i="13" s="1"/>
  <c r="BG64" i="13"/>
  <c r="BH64" i="13" s="1"/>
  <c r="BJ64" i="13"/>
  <c r="BK64" i="13" s="1"/>
  <c r="BD41" i="13"/>
  <c r="BE41" i="13" s="1"/>
  <c r="BG41" i="13"/>
  <c r="BH41" i="13" s="1"/>
  <c r="BJ41" i="13"/>
  <c r="BK41" i="13" s="1"/>
  <c r="BD42" i="13"/>
  <c r="BE42" i="13" s="1"/>
  <c r="BG42" i="13"/>
  <c r="BH42" i="13" s="1"/>
  <c r="BJ42" i="13"/>
  <c r="BK42" i="13" s="1"/>
  <c r="BD43" i="13"/>
  <c r="BE43" i="13" s="1"/>
  <c r="BG43" i="13"/>
  <c r="BH43" i="13" s="1"/>
  <c r="BJ43" i="13"/>
  <c r="BK43" i="13" s="1"/>
  <c r="BD44" i="13"/>
  <c r="BE44" i="13" s="1"/>
  <c r="BG44" i="13"/>
  <c r="BH44" i="13" s="1"/>
  <c r="BJ44" i="13"/>
  <c r="BK44" i="13" s="1"/>
  <c r="BD45" i="13"/>
  <c r="BE45" i="13" s="1"/>
  <c r="BG45" i="13"/>
  <c r="BH45" i="13" s="1"/>
  <c r="BJ45" i="13"/>
  <c r="BK45" i="13" s="1"/>
  <c r="BD17" i="13"/>
  <c r="BE17" i="13" s="1"/>
  <c r="BG17" i="13"/>
  <c r="BH17" i="13" s="1"/>
  <c r="BJ17" i="13"/>
  <c r="BK17" i="13" s="1"/>
  <c r="BD18" i="13"/>
  <c r="BE18" i="13" s="1"/>
  <c r="BG18" i="13"/>
  <c r="BH18" i="13" s="1"/>
  <c r="BJ18" i="13"/>
  <c r="BK18" i="13" s="1"/>
  <c r="BD20" i="13"/>
  <c r="BE20" i="13" s="1"/>
  <c r="BG20" i="13"/>
  <c r="BH20" i="13" s="1"/>
  <c r="BJ20" i="13"/>
  <c r="BK20" i="13" s="1"/>
  <c r="BD21" i="13"/>
  <c r="BE21" i="13" s="1"/>
  <c r="BG21" i="13"/>
  <c r="BH21" i="13" s="1"/>
  <c r="BJ21" i="13"/>
  <c r="BK21" i="13" s="1"/>
  <c r="BD26" i="13"/>
  <c r="BE26" i="13" s="1"/>
  <c r="BG26" i="13"/>
  <c r="BH26" i="13" s="1"/>
  <c r="BJ26" i="13"/>
  <c r="BK26" i="13" s="1"/>
  <c r="BD28" i="13"/>
  <c r="BE28" i="13" s="1"/>
  <c r="BG28" i="13"/>
  <c r="BH28" i="13" s="1"/>
  <c r="BJ28" i="13"/>
  <c r="BK28" i="13" s="1"/>
  <c r="BD31" i="13"/>
  <c r="BE31" i="13" s="1"/>
  <c r="BG31" i="13"/>
  <c r="BH31" i="13" s="1"/>
  <c r="BJ31" i="13"/>
  <c r="BK31" i="13" s="1"/>
  <c r="BD33" i="13"/>
  <c r="BE33" i="13" s="1"/>
  <c r="BG33" i="13"/>
  <c r="BH33" i="13" s="1"/>
  <c r="BJ33" i="13"/>
  <c r="BK33" i="13" s="1"/>
  <c r="BD13" i="13"/>
  <c r="BE13" i="13" s="1"/>
  <c r="BG13" i="13"/>
  <c r="BH13" i="13" s="1"/>
  <c r="BJ13" i="13"/>
  <c r="BK13" i="13" s="1"/>
  <c r="BD14" i="13"/>
  <c r="BE14" i="13" s="1"/>
  <c r="BG14" i="13"/>
  <c r="BH14" i="13" s="1"/>
  <c r="BJ14" i="13"/>
  <c r="BK14" i="13" s="1"/>
  <c r="H199" i="16" l="1"/>
  <c r="H78" i="16"/>
  <c r="AG95" i="13"/>
  <c r="AG96" i="13"/>
  <c r="G231" i="13"/>
  <c r="H231" i="13"/>
  <c r="I231" i="13"/>
  <c r="J231" i="13"/>
  <c r="K231" i="13"/>
  <c r="L231" i="13"/>
  <c r="M231" i="13"/>
  <c r="N231" i="13"/>
  <c r="O231" i="13"/>
  <c r="P231" i="13"/>
  <c r="R231" i="13"/>
  <c r="F231" i="13"/>
  <c r="G214" i="13"/>
  <c r="H214" i="13"/>
  <c r="I214" i="13"/>
  <c r="J214" i="13"/>
  <c r="K214" i="13"/>
  <c r="L214" i="13"/>
  <c r="M214" i="13"/>
  <c r="N214" i="13"/>
  <c r="O214" i="13"/>
  <c r="P214" i="13"/>
  <c r="R214" i="13"/>
  <c r="R169" i="13"/>
  <c r="P169" i="13"/>
  <c r="O169" i="13"/>
  <c r="N169" i="13"/>
  <c r="M169" i="13"/>
  <c r="L169" i="13"/>
  <c r="K169" i="13"/>
  <c r="J169" i="13"/>
  <c r="I169" i="13"/>
  <c r="H169" i="13"/>
  <c r="G169" i="13"/>
  <c r="R192" i="13"/>
  <c r="P192" i="13"/>
  <c r="O192" i="13"/>
  <c r="N192" i="13"/>
  <c r="M192" i="13"/>
  <c r="L192" i="13"/>
  <c r="K192" i="13"/>
  <c r="J192" i="13"/>
  <c r="I192" i="13"/>
  <c r="H192" i="13"/>
  <c r="G192" i="13"/>
  <c r="R189" i="13"/>
  <c r="P189" i="13"/>
  <c r="O189" i="13"/>
  <c r="N189" i="13"/>
  <c r="M189" i="13"/>
  <c r="L189" i="13"/>
  <c r="K189" i="13"/>
  <c r="J189" i="13"/>
  <c r="I189" i="13"/>
  <c r="H189" i="13"/>
  <c r="G189" i="13"/>
  <c r="R187" i="13"/>
  <c r="P187" i="13"/>
  <c r="O187" i="13"/>
  <c r="N187" i="13"/>
  <c r="M187" i="13"/>
  <c r="K187" i="13"/>
  <c r="J187" i="13"/>
  <c r="I187" i="13"/>
  <c r="H187" i="13"/>
  <c r="G187" i="13"/>
  <c r="R183" i="13"/>
  <c r="P183" i="13"/>
  <c r="O183" i="13"/>
  <c r="N183" i="13"/>
  <c r="M183" i="13"/>
  <c r="L183" i="13"/>
  <c r="K183" i="13"/>
  <c r="J183" i="13"/>
  <c r="I183" i="13"/>
  <c r="H183" i="13"/>
  <c r="G183" i="13"/>
  <c r="R179" i="13"/>
  <c r="P179" i="13"/>
  <c r="O179" i="13"/>
  <c r="N179" i="13"/>
  <c r="M179" i="13"/>
  <c r="L179" i="13"/>
  <c r="K179" i="13"/>
  <c r="J179" i="13"/>
  <c r="I179" i="13"/>
  <c r="H179" i="13"/>
  <c r="G179" i="13"/>
  <c r="R175" i="13"/>
  <c r="P175" i="13"/>
  <c r="O175" i="13"/>
  <c r="N175" i="13"/>
  <c r="M175" i="13"/>
  <c r="L175" i="13"/>
  <c r="K175" i="13"/>
  <c r="J175" i="13"/>
  <c r="I175" i="13"/>
  <c r="H175" i="13"/>
  <c r="G175" i="13"/>
  <c r="R171" i="13"/>
  <c r="P171" i="13"/>
  <c r="O171" i="13"/>
  <c r="N171" i="13"/>
  <c r="M171" i="13"/>
  <c r="L171" i="13"/>
  <c r="K171" i="13"/>
  <c r="J171" i="13"/>
  <c r="I171" i="13"/>
  <c r="H171" i="13"/>
  <c r="G171" i="13"/>
  <c r="R164" i="13"/>
  <c r="P164" i="13"/>
  <c r="O164" i="13"/>
  <c r="N164" i="13"/>
  <c r="M164" i="13"/>
  <c r="L164" i="13"/>
  <c r="K164" i="13"/>
  <c r="J164" i="13"/>
  <c r="I164" i="13"/>
  <c r="H164" i="13"/>
  <c r="G164" i="13"/>
  <c r="R162" i="13"/>
  <c r="P162" i="13"/>
  <c r="O162" i="13"/>
  <c r="N162" i="13"/>
  <c r="M162" i="13"/>
  <c r="L162" i="13"/>
  <c r="K162" i="13"/>
  <c r="J162" i="13"/>
  <c r="I162" i="13"/>
  <c r="H162" i="13"/>
  <c r="G162" i="13"/>
  <c r="R160" i="13"/>
  <c r="P160" i="13"/>
  <c r="O160" i="13"/>
  <c r="N160" i="13"/>
  <c r="M160" i="13"/>
  <c r="L160" i="13"/>
  <c r="K160" i="13"/>
  <c r="J160" i="13"/>
  <c r="I160" i="13"/>
  <c r="H160" i="13"/>
  <c r="G160" i="13"/>
  <c r="R155" i="13"/>
  <c r="P155" i="13"/>
  <c r="O155" i="13"/>
  <c r="N155" i="13"/>
  <c r="M155" i="13"/>
  <c r="L155" i="13"/>
  <c r="K155" i="13"/>
  <c r="J155" i="13"/>
  <c r="I155" i="13"/>
  <c r="H155" i="13"/>
  <c r="G155" i="13"/>
  <c r="R148" i="13"/>
  <c r="P148" i="13"/>
  <c r="O148" i="13"/>
  <c r="N148" i="13"/>
  <c r="M148" i="13"/>
  <c r="L148" i="13"/>
  <c r="K148" i="13"/>
  <c r="J148" i="13"/>
  <c r="I148" i="13"/>
  <c r="H148" i="13"/>
  <c r="G148" i="13"/>
  <c r="R144" i="13"/>
  <c r="P144" i="13"/>
  <c r="O144" i="13"/>
  <c r="N144" i="13"/>
  <c r="M144" i="13"/>
  <c r="L144" i="13"/>
  <c r="K144" i="13"/>
  <c r="J144" i="13"/>
  <c r="I144" i="13"/>
  <c r="H144" i="13"/>
  <c r="G144" i="13"/>
  <c r="R134" i="13"/>
  <c r="P134" i="13"/>
  <c r="O134" i="13"/>
  <c r="N134" i="13"/>
  <c r="M134" i="13"/>
  <c r="L134" i="13"/>
  <c r="K134" i="13"/>
  <c r="J134" i="13"/>
  <c r="I134" i="13"/>
  <c r="H134" i="13"/>
  <c r="G134" i="13"/>
  <c r="R130" i="13"/>
  <c r="P130" i="13"/>
  <c r="O130" i="13"/>
  <c r="N130" i="13"/>
  <c r="M130" i="13"/>
  <c r="L130" i="13"/>
  <c r="K130" i="13"/>
  <c r="J130" i="13"/>
  <c r="I130" i="13"/>
  <c r="H130" i="13"/>
  <c r="G130" i="13"/>
  <c r="R126" i="13"/>
  <c r="P126" i="13"/>
  <c r="O126" i="13"/>
  <c r="N126" i="13"/>
  <c r="M126" i="13"/>
  <c r="L126" i="13"/>
  <c r="K126" i="13"/>
  <c r="J126" i="13"/>
  <c r="I126" i="13"/>
  <c r="H126" i="13"/>
  <c r="G126" i="13"/>
  <c r="R121" i="13"/>
  <c r="P121" i="13"/>
  <c r="O121" i="13"/>
  <c r="N121" i="13"/>
  <c r="M121" i="13"/>
  <c r="L121" i="13"/>
  <c r="K121" i="13"/>
  <c r="J121" i="13"/>
  <c r="I121" i="13"/>
  <c r="H121" i="13"/>
  <c r="G121" i="13"/>
  <c r="R117" i="13"/>
  <c r="P117" i="13"/>
  <c r="O117" i="13"/>
  <c r="N117" i="13"/>
  <c r="M117" i="13"/>
  <c r="L117" i="13"/>
  <c r="K117" i="13"/>
  <c r="J117" i="13"/>
  <c r="I117" i="13"/>
  <c r="H117" i="13"/>
  <c r="G117" i="13"/>
  <c r="R115" i="13"/>
  <c r="P115" i="13"/>
  <c r="O115" i="13"/>
  <c r="N115" i="13"/>
  <c r="M115" i="13"/>
  <c r="L115" i="13"/>
  <c r="K115" i="13"/>
  <c r="J115" i="13"/>
  <c r="I115" i="13"/>
  <c r="H115" i="13"/>
  <c r="G115" i="13"/>
  <c r="R113" i="13"/>
  <c r="P113" i="13"/>
  <c r="O113" i="13"/>
  <c r="N113" i="13"/>
  <c r="M113" i="13"/>
  <c r="L113" i="13"/>
  <c r="K113" i="13"/>
  <c r="J113" i="13"/>
  <c r="I113" i="13"/>
  <c r="H113" i="13"/>
  <c r="G113" i="13"/>
  <c r="R103" i="13"/>
  <c r="P103" i="13"/>
  <c r="O103" i="13"/>
  <c r="N103" i="13"/>
  <c r="M103" i="13"/>
  <c r="L103" i="13"/>
  <c r="K103" i="13"/>
  <c r="J103" i="13"/>
  <c r="I103" i="13"/>
  <c r="H103" i="13"/>
  <c r="G103" i="13"/>
  <c r="R100" i="13"/>
  <c r="P100" i="13"/>
  <c r="O100" i="13"/>
  <c r="N100" i="13"/>
  <c r="M100" i="13"/>
  <c r="L100" i="13"/>
  <c r="K100" i="13"/>
  <c r="J100" i="13"/>
  <c r="I100" i="13"/>
  <c r="H100" i="13"/>
  <c r="G100" i="13"/>
  <c r="R93" i="13"/>
  <c r="P93" i="13"/>
  <c r="O93" i="13"/>
  <c r="N93" i="13"/>
  <c r="M93" i="13"/>
  <c r="L93" i="13"/>
  <c r="K93" i="13"/>
  <c r="J93" i="13"/>
  <c r="I93" i="13"/>
  <c r="H93" i="13"/>
  <c r="G93" i="13"/>
  <c r="H83" i="13"/>
  <c r="P90" i="13"/>
  <c r="O90" i="13"/>
  <c r="N90" i="13"/>
  <c r="M90" i="13"/>
  <c r="L90" i="13"/>
  <c r="K90" i="13"/>
  <c r="J90" i="13"/>
  <c r="I90" i="13"/>
  <c r="H90" i="13"/>
  <c r="G90" i="13"/>
  <c r="R90" i="13"/>
  <c r="H86" i="13"/>
  <c r="R86" i="13"/>
  <c r="R83" i="13"/>
  <c r="P86" i="13"/>
  <c r="P83" i="13"/>
  <c r="O86" i="13"/>
  <c r="O83" i="13"/>
  <c r="N86" i="13"/>
  <c r="N83" i="13"/>
  <c r="M86" i="13"/>
  <c r="M83" i="13"/>
  <c r="L86" i="13"/>
  <c r="L83" i="13"/>
  <c r="K86" i="13"/>
  <c r="K83" i="13"/>
  <c r="J86" i="13"/>
  <c r="J83" i="13"/>
  <c r="I86" i="13"/>
  <c r="I83" i="13"/>
  <c r="G86" i="13"/>
  <c r="G83" i="13"/>
  <c r="R75" i="13"/>
  <c r="R69" i="13"/>
  <c r="P75" i="13"/>
  <c r="P69" i="13"/>
  <c r="O75" i="13"/>
  <c r="O69" i="13"/>
  <c r="N75" i="13"/>
  <c r="N69" i="13"/>
  <c r="M75" i="13"/>
  <c r="M69" i="13"/>
  <c r="L75" i="13"/>
  <c r="L69" i="13"/>
  <c r="K75" i="13"/>
  <c r="K69" i="13"/>
  <c r="J75" i="13"/>
  <c r="J69" i="13"/>
  <c r="I75" i="13"/>
  <c r="I69" i="13"/>
  <c r="H69" i="13"/>
  <c r="G75" i="13"/>
  <c r="G69" i="13"/>
  <c r="H63" i="13"/>
  <c r="R63" i="13"/>
  <c r="P63" i="13"/>
  <c r="O63" i="13"/>
  <c r="N63" i="13"/>
  <c r="M63" i="13"/>
  <c r="L63" i="13"/>
  <c r="K63" i="13"/>
  <c r="J63" i="13"/>
  <c r="I63" i="13"/>
  <c r="G63" i="13"/>
  <c r="R59" i="13"/>
  <c r="R56" i="13"/>
  <c r="P59" i="13"/>
  <c r="P56" i="13"/>
  <c r="O59" i="13"/>
  <c r="O56" i="13"/>
  <c r="L59" i="13"/>
  <c r="L56" i="13"/>
  <c r="K59" i="13"/>
  <c r="K56" i="13"/>
  <c r="J59" i="13"/>
  <c r="J56" i="13"/>
  <c r="I59" i="13"/>
  <c r="I56" i="13"/>
  <c r="G59" i="13"/>
  <c r="G56" i="13"/>
  <c r="K51" i="13"/>
  <c r="K46" i="13"/>
  <c r="R51" i="13"/>
  <c r="R46" i="13"/>
  <c r="R39" i="13"/>
  <c r="P51" i="13"/>
  <c r="P46" i="13"/>
  <c r="P39" i="13"/>
  <c r="O51" i="13"/>
  <c r="O46" i="13"/>
  <c r="O39" i="13"/>
  <c r="N51" i="13"/>
  <c r="N46" i="13"/>
  <c r="N39" i="13"/>
  <c r="M51" i="13"/>
  <c r="M46" i="13"/>
  <c r="M39" i="13"/>
  <c r="L51" i="13"/>
  <c r="L46" i="13"/>
  <c r="L39" i="13"/>
  <c r="J51" i="13"/>
  <c r="J46" i="13"/>
  <c r="J39" i="13"/>
  <c r="I51" i="13"/>
  <c r="I46" i="13"/>
  <c r="I39" i="13"/>
  <c r="H51" i="13"/>
  <c r="H46" i="13"/>
  <c r="H39" i="13"/>
  <c r="G51" i="13"/>
  <c r="G46" i="13"/>
  <c r="G39" i="13"/>
  <c r="B202" i="13"/>
  <c r="Z202" i="13" s="1"/>
  <c r="B203" i="13"/>
  <c r="Z203" i="13" s="1"/>
  <c r="J123" i="13" l="1"/>
  <c r="M66" i="13"/>
  <c r="K110" i="13"/>
  <c r="J152" i="13"/>
  <c r="J110" i="13"/>
  <c r="H123" i="13"/>
  <c r="N166" i="13"/>
  <c r="J66" i="13"/>
  <c r="O66" i="13"/>
  <c r="M97" i="13"/>
  <c r="M110" i="13"/>
  <c r="O110" i="13"/>
  <c r="R110" i="13"/>
  <c r="N66" i="13"/>
  <c r="I123" i="13"/>
  <c r="H66" i="13"/>
  <c r="R97" i="13"/>
  <c r="L110" i="13"/>
  <c r="I166" i="13"/>
  <c r="G66" i="13"/>
  <c r="P66" i="13"/>
  <c r="N110" i="13"/>
  <c r="J166" i="13"/>
  <c r="O123" i="13"/>
  <c r="P110" i="13"/>
  <c r="R66" i="13"/>
  <c r="G110" i="13"/>
  <c r="J97" i="13"/>
  <c r="I66" i="13"/>
  <c r="R166" i="13"/>
  <c r="G97" i="13"/>
  <c r="I97" i="13"/>
  <c r="O97" i="13"/>
  <c r="M197" i="13"/>
  <c r="P97" i="13"/>
  <c r="P123" i="13"/>
  <c r="K66" i="13"/>
  <c r="H110" i="13"/>
  <c r="R123" i="13"/>
  <c r="H152" i="13"/>
  <c r="M166" i="13"/>
  <c r="K97" i="13"/>
  <c r="I110" i="13"/>
  <c r="L97" i="13"/>
  <c r="K152" i="13"/>
  <c r="L152" i="13"/>
  <c r="O166" i="13"/>
  <c r="M123" i="13"/>
  <c r="P166" i="13"/>
  <c r="L66" i="13"/>
  <c r="H166" i="13"/>
  <c r="H97" i="13"/>
  <c r="N97" i="13"/>
  <c r="I152" i="13"/>
  <c r="G123" i="13"/>
  <c r="G166" i="13"/>
  <c r="L197" i="13"/>
  <c r="I197" i="13"/>
  <c r="K123" i="13"/>
  <c r="K166" i="13"/>
  <c r="N197" i="13"/>
  <c r="J197" i="13"/>
  <c r="L123" i="13"/>
  <c r="N123" i="13"/>
  <c r="L166" i="13"/>
  <c r="O197" i="13"/>
  <c r="K197" i="13"/>
  <c r="R197" i="13"/>
  <c r="P197" i="13"/>
  <c r="M152" i="13"/>
  <c r="N152" i="13"/>
  <c r="O152" i="13"/>
  <c r="P152" i="13"/>
  <c r="R152" i="13"/>
  <c r="G152" i="13"/>
  <c r="AE95" i="13"/>
  <c r="AF95" i="13"/>
  <c r="AE96" i="13"/>
  <c r="AF96" i="13"/>
  <c r="H197" i="13"/>
  <c r="G197" i="13"/>
  <c r="F214" i="13" l="1"/>
  <c r="F189" i="13"/>
  <c r="F187" i="13"/>
  <c r="F192" i="13"/>
  <c r="F183" i="13"/>
  <c r="F179" i="13"/>
  <c r="F175" i="13"/>
  <c r="F169" i="13"/>
  <c r="F171" i="13"/>
  <c r="F164" i="13"/>
  <c r="F162" i="13"/>
  <c r="F160" i="13"/>
  <c r="F155" i="13"/>
  <c r="F148" i="13"/>
  <c r="F144" i="13"/>
  <c r="F134" i="13"/>
  <c r="F130" i="13"/>
  <c r="F126" i="13"/>
  <c r="F121" i="13"/>
  <c r="F117" i="13"/>
  <c r="F115" i="13"/>
  <c r="F113" i="13"/>
  <c r="F103" i="13"/>
  <c r="F100" i="13"/>
  <c r="F93" i="13"/>
  <c r="F90" i="13"/>
  <c r="F86" i="13"/>
  <c r="F83" i="13"/>
  <c r="F75" i="13"/>
  <c r="F69" i="13"/>
  <c r="F63" i="13"/>
  <c r="F59" i="13"/>
  <c r="F56" i="13"/>
  <c r="F51" i="13"/>
  <c r="F46" i="13"/>
  <c r="F39" i="13"/>
  <c r="AF224" i="5"/>
  <c r="AE224" i="5"/>
  <c r="AD224" i="5"/>
  <c r="AF223" i="5"/>
  <c r="AE223" i="5"/>
  <c r="AD223" i="5"/>
  <c r="AF222" i="5"/>
  <c r="AE222" i="5"/>
  <c r="AD222" i="5"/>
  <c r="AF221" i="5"/>
  <c r="AE221" i="5"/>
  <c r="AD221" i="5"/>
  <c r="AF220" i="5"/>
  <c r="AE220" i="5"/>
  <c r="AD220" i="5"/>
  <c r="AF219" i="5"/>
  <c r="AE219" i="5"/>
  <c r="AD219" i="5"/>
  <c r="AF218" i="5"/>
  <c r="AE218" i="5"/>
  <c r="AD218" i="5"/>
  <c r="AF217" i="5"/>
  <c r="AE217" i="5"/>
  <c r="AD217" i="5"/>
  <c r="AF216" i="5"/>
  <c r="AE216" i="5"/>
  <c r="AD216" i="5"/>
  <c r="AF215" i="5"/>
  <c r="AE215" i="5"/>
  <c r="AD215" i="5"/>
  <c r="AF214" i="5"/>
  <c r="AE214" i="5"/>
  <c r="AD214" i="5"/>
  <c r="AF213" i="5"/>
  <c r="AE213" i="5"/>
  <c r="AD213" i="5"/>
  <c r="AF212" i="5"/>
  <c r="AE212" i="5"/>
  <c r="AD212" i="5"/>
  <c r="AF211" i="5"/>
  <c r="AE211" i="5"/>
  <c r="AD211" i="5"/>
  <c r="AF207" i="5"/>
  <c r="AE207" i="5"/>
  <c r="AD207" i="5"/>
  <c r="AF206" i="5"/>
  <c r="AE206" i="5"/>
  <c r="AD206" i="5"/>
  <c r="AF205" i="5"/>
  <c r="AE205" i="5"/>
  <c r="AD205" i="5"/>
  <c r="AF204" i="5"/>
  <c r="AE204" i="5"/>
  <c r="AD204" i="5"/>
  <c r="AF203" i="5"/>
  <c r="AE203" i="5"/>
  <c r="AD203" i="5"/>
  <c r="AF202" i="5"/>
  <c r="AE202" i="5"/>
  <c r="AD202" i="5"/>
  <c r="AF201" i="5"/>
  <c r="AE201" i="5"/>
  <c r="AD201" i="5"/>
  <c r="AF200" i="5"/>
  <c r="AE200" i="5"/>
  <c r="AD200" i="5"/>
  <c r="AF199" i="5"/>
  <c r="AE199" i="5"/>
  <c r="AD199" i="5"/>
  <c r="AF195" i="5"/>
  <c r="AE195" i="5"/>
  <c r="AD195" i="5"/>
  <c r="AF194" i="5"/>
  <c r="AE194" i="5"/>
  <c r="AD194" i="5"/>
  <c r="AF190" i="5"/>
  <c r="AE190" i="5"/>
  <c r="AD190" i="5"/>
  <c r="AF188" i="5"/>
  <c r="AE188" i="5"/>
  <c r="AD188" i="5"/>
  <c r="AF187" i="5"/>
  <c r="AE187" i="5"/>
  <c r="AD187" i="5"/>
  <c r="AF186" i="5"/>
  <c r="AE186" i="5"/>
  <c r="AD186" i="5"/>
  <c r="AF185" i="5"/>
  <c r="AE185" i="5"/>
  <c r="AD185" i="5"/>
  <c r="AF184" i="5"/>
  <c r="AE184" i="5"/>
  <c r="AD184" i="5"/>
  <c r="AF183" i="5"/>
  <c r="AE183" i="5"/>
  <c r="AD183" i="5"/>
  <c r="AF182" i="5"/>
  <c r="AE182" i="5"/>
  <c r="AD182" i="5"/>
  <c r="AF181" i="5"/>
  <c r="AE181" i="5"/>
  <c r="AD181" i="5"/>
  <c r="AF180" i="5"/>
  <c r="AE180" i="5"/>
  <c r="AD180" i="5"/>
  <c r="AF179" i="5"/>
  <c r="AE179" i="5"/>
  <c r="AD179" i="5"/>
  <c r="AF178" i="5"/>
  <c r="AE178" i="5"/>
  <c r="AD178" i="5"/>
  <c r="AF177" i="5"/>
  <c r="AE177" i="5"/>
  <c r="AD177" i="5"/>
  <c r="AF176" i="5"/>
  <c r="AE176" i="5"/>
  <c r="AD176" i="5"/>
  <c r="AF175" i="5"/>
  <c r="AE175" i="5"/>
  <c r="AD175" i="5"/>
  <c r="AF174" i="5"/>
  <c r="AE174" i="5"/>
  <c r="AD174" i="5"/>
  <c r="AF173" i="5"/>
  <c r="AE173" i="5"/>
  <c r="AD173" i="5"/>
  <c r="AF172" i="5"/>
  <c r="AE172" i="5"/>
  <c r="AD172" i="5"/>
  <c r="AF171" i="5"/>
  <c r="AE171" i="5"/>
  <c r="AD171" i="5"/>
  <c r="AF170" i="5"/>
  <c r="AE170" i="5"/>
  <c r="AD170" i="5"/>
  <c r="AF169" i="5"/>
  <c r="AE169" i="5"/>
  <c r="AD169" i="5"/>
  <c r="AF168" i="5"/>
  <c r="AE168" i="5"/>
  <c r="AD168" i="5"/>
  <c r="AF167" i="5"/>
  <c r="AE167" i="5"/>
  <c r="AD167" i="5"/>
  <c r="AF166" i="5"/>
  <c r="AE166" i="5"/>
  <c r="AD166" i="5"/>
  <c r="AF164" i="5"/>
  <c r="AE164" i="5"/>
  <c r="AD164" i="5"/>
  <c r="AF163" i="5"/>
  <c r="AE163" i="5"/>
  <c r="AD163" i="5"/>
  <c r="AF159" i="5"/>
  <c r="AE159" i="5"/>
  <c r="AD159" i="5"/>
  <c r="AF158" i="5"/>
  <c r="AE158" i="5"/>
  <c r="AD158" i="5"/>
  <c r="AF157" i="5"/>
  <c r="AE157" i="5"/>
  <c r="AD157" i="5"/>
  <c r="AF156" i="5"/>
  <c r="AE156" i="5"/>
  <c r="AD156" i="5"/>
  <c r="AF155" i="5"/>
  <c r="AE155" i="5"/>
  <c r="AD155" i="5"/>
  <c r="AF154" i="5"/>
  <c r="AE154" i="5"/>
  <c r="AD154" i="5"/>
  <c r="AF152" i="5"/>
  <c r="AE152" i="5"/>
  <c r="AD152" i="5"/>
  <c r="AF151" i="5"/>
  <c r="AE151" i="5"/>
  <c r="AD151" i="5"/>
  <c r="AF150" i="5"/>
  <c r="AE150" i="5"/>
  <c r="AD150" i="5"/>
  <c r="AF148" i="5"/>
  <c r="AE148" i="5"/>
  <c r="AD148" i="5"/>
  <c r="AF144" i="5"/>
  <c r="AE144" i="5"/>
  <c r="AD144" i="5"/>
  <c r="AF143" i="5"/>
  <c r="AE143" i="5"/>
  <c r="AD143" i="5"/>
  <c r="AF142" i="5"/>
  <c r="AE142" i="5"/>
  <c r="AD142" i="5"/>
  <c r="AF141" i="5"/>
  <c r="AE141" i="5"/>
  <c r="AD141" i="5"/>
  <c r="AF140" i="5"/>
  <c r="AE140" i="5"/>
  <c r="AD140" i="5"/>
  <c r="AF139" i="5"/>
  <c r="AE139" i="5"/>
  <c r="AD139" i="5"/>
  <c r="AF138" i="5"/>
  <c r="AE138" i="5"/>
  <c r="AD138" i="5"/>
  <c r="AF136" i="5"/>
  <c r="AE136" i="5"/>
  <c r="AD136" i="5"/>
  <c r="AF134" i="5"/>
  <c r="AE134" i="5"/>
  <c r="AD134" i="5"/>
  <c r="AF133" i="5"/>
  <c r="AE133" i="5"/>
  <c r="AD133" i="5"/>
  <c r="AF132" i="5"/>
  <c r="AE132" i="5"/>
  <c r="AD132" i="5"/>
  <c r="AF131" i="5"/>
  <c r="AE131" i="5"/>
  <c r="AD131" i="5"/>
  <c r="AF130" i="5"/>
  <c r="AE130" i="5"/>
  <c r="AD130" i="5"/>
  <c r="AF129" i="5"/>
  <c r="AE129" i="5"/>
  <c r="AD129" i="5"/>
  <c r="AF128" i="5"/>
  <c r="AE128" i="5"/>
  <c r="AD128" i="5"/>
  <c r="AF127" i="5"/>
  <c r="AE127" i="5"/>
  <c r="AD127" i="5"/>
  <c r="AF126" i="5"/>
  <c r="AE126" i="5"/>
  <c r="AD126" i="5"/>
  <c r="AF125" i="5"/>
  <c r="AE125" i="5"/>
  <c r="AD125" i="5"/>
  <c r="AF124" i="5"/>
  <c r="AE124" i="5"/>
  <c r="AD124" i="5"/>
  <c r="AF123" i="5"/>
  <c r="AE123" i="5"/>
  <c r="AD123" i="5"/>
  <c r="AF122" i="5"/>
  <c r="AE122" i="5"/>
  <c r="AD122" i="5"/>
  <c r="AF121" i="5"/>
  <c r="AE121" i="5"/>
  <c r="AD121" i="5"/>
  <c r="AF120" i="5"/>
  <c r="AE120" i="5"/>
  <c r="AD120" i="5"/>
  <c r="AF119" i="5"/>
  <c r="AE119" i="5"/>
  <c r="AD119" i="5"/>
  <c r="AF118" i="5"/>
  <c r="AE118" i="5"/>
  <c r="AD118" i="5"/>
  <c r="AF114" i="5"/>
  <c r="AE114" i="5"/>
  <c r="AD114" i="5"/>
  <c r="AF113" i="5"/>
  <c r="AE113" i="5"/>
  <c r="AD113" i="5"/>
  <c r="AF112" i="5"/>
  <c r="AE112" i="5"/>
  <c r="AD112" i="5"/>
  <c r="AF111" i="5"/>
  <c r="AE111" i="5"/>
  <c r="AD111" i="5"/>
  <c r="AF110" i="5"/>
  <c r="AE110" i="5"/>
  <c r="AD110" i="5"/>
  <c r="AF109" i="5"/>
  <c r="AE109" i="5"/>
  <c r="AD109" i="5"/>
  <c r="AF108" i="5"/>
  <c r="AE108" i="5"/>
  <c r="AD108" i="5"/>
  <c r="AF107" i="5"/>
  <c r="AE107" i="5"/>
  <c r="AD107" i="5"/>
  <c r="AF106" i="5"/>
  <c r="AE106" i="5"/>
  <c r="AD106" i="5"/>
  <c r="AF104" i="5"/>
  <c r="AE104" i="5"/>
  <c r="AD104" i="5"/>
  <c r="AF100" i="5"/>
  <c r="AE100" i="5"/>
  <c r="AD100" i="5"/>
  <c r="AF98" i="5"/>
  <c r="AE98" i="5"/>
  <c r="AD98" i="5"/>
  <c r="AF97" i="5"/>
  <c r="AE97" i="5"/>
  <c r="AD97" i="5"/>
  <c r="AF96" i="5"/>
  <c r="AE96" i="5"/>
  <c r="AD96" i="5"/>
  <c r="AF95" i="5"/>
  <c r="AE95" i="5"/>
  <c r="AD95" i="5"/>
  <c r="AF91" i="5"/>
  <c r="AE91" i="5"/>
  <c r="AD91" i="5"/>
  <c r="AF90" i="5"/>
  <c r="AE90" i="5"/>
  <c r="AD90" i="5"/>
  <c r="AF89" i="5"/>
  <c r="AE89" i="5"/>
  <c r="AD89" i="5"/>
  <c r="AF88" i="5"/>
  <c r="AE88" i="5"/>
  <c r="AD88" i="5"/>
  <c r="AF87" i="5"/>
  <c r="AE87" i="5"/>
  <c r="AD87" i="5"/>
  <c r="AF86" i="5"/>
  <c r="AE86" i="5"/>
  <c r="AD86" i="5"/>
  <c r="AF84" i="5"/>
  <c r="AE84" i="5"/>
  <c r="AD84" i="5"/>
  <c r="AF83" i="5"/>
  <c r="AE83" i="5"/>
  <c r="AD83" i="5"/>
  <c r="AF82" i="5"/>
  <c r="AE82" i="5"/>
  <c r="AD82" i="5"/>
  <c r="AF81" i="5"/>
  <c r="AE81" i="5"/>
  <c r="AD81" i="5"/>
  <c r="AF80" i="5"/>
  <c r="AE80" i="5"/>
  <c r="AD80" i="5"/>
  <c r="AF79" i="5"/>
  <c r="AE79" i="5"/>
  <c r="AD79" i="5"/>
  <c r="AF78" i="5"/>
  <c r="AE78" i="5"/>
  <c r="AD78" i="5"/>
  <c r="AF77" i="5"/>
  <c r="AE77" i="5"/>
  <c r="AD77" i="5"/>
  <c r="AF76" i="5"/>
  <c r="AE76" i="5"/>
  <c r="AD76" i="5"/>
  <c r="AF75" i="5"/>
  <c r="AE75" i="5"/>
  <c r="AD75" i="5"/>
  <c r="AF74" i="5"/>
  <c r="AE74" i="5"/>
  <c r="AD74" i="5"/>
  <c r="AF73" i="5"/>
  <c r="AE73" i="5"/>
  <c r="AD73" i="5"/>
  <c r="AF72" i="5"/>
  <c r="AE72" i="5"/>
  <c r="AD72" i="5"/>
  <c r="AF71" i="5"/>
  <c r="AE71" i="5"/>
  <c r="AD71" i="5"/>
  <c r="AF69" i="5"/>
  <c r="AE69" i="5"/>
  <c r="AD69" i="5"/>
  <c r="AF68" i="5"/>
  <c r="AE68" i="5"/>
  <c r="AD68" i="5"/>
  <c r="AF67" i="5"/>
  <c r="AE67" i="5"/>
  <c r="AD67" i="5"/>
  <c r="AF66" i="5"/>
  <c r="AE66" i="5"/>
  <c r="AD66" i="5"/>
  <c r="AF62" i="5"/>
  <c r="AE62" i="5"/>
  <c r="AD62" i="5"/>
  <c r="AF61" i="5"/>
  <c r="AE61" i="5"/>
  <c r="AD61" i="5"/>
  <c r="AF60" i="5"/>
  <c r="AE60" i="5"/>
  <c r="AD60" i="5"/>
  <c r="AF59" i="5"/>
  <c r="AE59" i="5"/>
  <c r="AD59" i="5"/>
  <c r="AF58" i="5"/>
  <c r="AE58" i="5"/>
  <c r="AD58" i="5"/>
  <c r="AF57" i="5"/>
  <c r="AE57" i="5"/>
  <c r="AD57" i="5"/>
  <c r="AF56" i="5"/>
  <c r="AE56" i="5"/>
  <c r="AD56" i="5"/>
  <c r="AF55" i="5"/>
  <c r="AE55" i="5"/>
  <c r="AD55" i="5"/>
  <c r="AF54" i="5"/>
  <c r="AE54" i="5"/>
  <c r="AD54" i="5"/>
  <c r="AF53" i="5"/>
  <c r="AE53" i="5"/>
  <c r="AD53" i="5"/>
  <c r="AF52" i="5"/>
  <c r="AE52" i="5"/>
  <c r="AD52" i="5"/>
  <c r="AF51" i="5"/>
  <c r="AE51" i="5"/>
  <c r="AD51" i="5"/>
  <c r="AF50" i="5"/>
  <c r="AE50" i="5"/>
  <c r="AD50" i="5"/>
  <c r="AF49" i="5"/>
  <c r="AE49" i="5"/>
  <c r="AD49" i="5"/>
  <c r="AF48" i="5"/>
  <c r="AE48" i="5"/>
  <c r="AD48" i="5"/>
  <c r="AF47" i="5"/>
  <c r="AE47" i="5"/>
  <c r="AD47" i="5"/>
  <c r="AF46" i="5"/>
  <c r="AE46" i="5"/>
  <c r="AD46" i="5"/>
  <c r="AF45" i="5"/>
  <c r="AE45" i="5"/>
  <c r="AD45" i="5"/>
  <c r="AF44" i="5"/>
  <c r="AE44" i="5"/>
  <c r="AD44" i="5"/>
  <c r="AF43" i="5"/>
  <c r="AE43" i="5"/>
  <c r="AD43" i="5"/>
  <c r="AF42" i="5"/>
  <c r="AE42" i="5"/>
  <c r="AD42" i="5"/>
  <c r="AF41" i="5"/>
  <c r="AE41" i="5"/>
  <c r="AD41" i="5"/>
  <c r="AF38" i="5"/>
  <c r="AE38" i="5"/>
  <c r="AD38" i="5"/>
  <c r="F97" i="13" l="1"/>
  <c r="F197" i="13"/>
  <c r="F166" i="13"/>
  <c r="F152" i="13"/>
  <c r="F123" i="13"/>
  <c r="F110" i="13"/>
  <c r="F66" i="13"/>
  <c r="G16" i="13"/>
  <c r="H16" i="13"/>
  <c r="I16" i="13"/>
  <c r="J16" i="13"/>
  <c r="K16" i="13"/>
  <c r="L16" i="13"/>
  <c r="M16" i="13"/>
  <c r="N16" i="13"/>
  <c r="O16" i="13"/>
  <c r="P16" i="13"/>
  <c r="R16" i="13"/>
  <c r="G19" i="13"/>
  <c r="H19" i="13"/>
  <c r="I19" i="13"/>
  <c r="J19" i="13"/>
  <c r="K19" i="13"/>
  <c r="L19" i="13"/>
  <c r="M19" i="13"/>
  <c r="N19" i="13"/>
  <c r="O19" i="13"/>
  <c r="P19" i="13"/>
  <c r="R19" i="13"/>
  <c r="G26" i="13"/>
  <c r="H26" i="13"/>
  <c r="I26" i="13"/>
  <c r="J26" i="13"/>
  <c r="K26" i="13"/>
  <c r="L26" i="13"/>
  <c r="M26" i="13"/>
  <c r="N26" i="13"/>
  <c r="O26" i="13"/>
  <c r="P26" i="13"/>
  <c r="R26" i="13"/>
  <c r="G30" i="13"/>
  <c r="H30" i="13"/>
  <c r="I30" i="13"/>
  <c r="J30" i="13"/>
  <c r="K30" i="13"/>
  <c r="L30" i="13"/>
  <c r="M30" i="13"/>
  <c r="N30" i="13"/>
  <c r="O30" i="13"/>
  <c r="P30" i="13"/>
  <c r="R30" i="13"/>
  <c r="G10" i="13"/>
  <c r="H10" i="13"/>
  <c r="I10" i="13"/>
  <c r="J10" i="13"/>
  <c r="K10" i="13"/>
  <c r="L10" i="13"/>
  <c r="M10" i="13"/>
  <c r="N10" i="13"/>
  <c r="O10" i="13"/>
  <c r="P10" i="13"/>
  <c r="R10" i="13"/>
  <c r="F30" i="13"/>
  <c r="F26" i="13"/>
  <c r="F19" i="13"/>
  <c r="F16" i="13"/>
  <c r="F10" i="13"/>
  <c r="F36" i="13" s="1"/>
  <c r="N36" i="13" l="1"/>
  <c r="J36" i="13"/>
  <c r="R36" i="13"/>
  <c r="G36" i="13"/>
  <c r="M36" i="13"/>
  <c r="H36" i="13"/>
  <c r="L36" i="13"/>
  <c r="I36" i="13"/>
  <c r="P36" i="13"/>
  <c r="O36" i="13"/>
  <c r="K36" i="13"/>
  <c r="AD12" i="5"/>
  <c r="AE12" i="5"/>
  <c r="AF12" i="5"/>
  <c r="AD13" i="5"/>
  <c r="AE13" i="5"/>
  <c r="AF13" i="5"/>
  <c r="AD14" i="5"/>
  <c r="AE14" i="5"/>
  <c r="AF14" i="5"/>
  <c r="AD16" i="5"/>
  <c r="AE16" i="5"/>
  <c r="AF16" i="5"/>
  <c r="AD17" i="5"/>
  <c r="AE17" i="5"/>
  <c r="AF17" i="5"/>
  <c r="AD18" i="5"/>
  <c r="AE18" i="5"/>
  <c r="AF18" i="5"/>
  <c r="AD19" i="5"/>
  <c r="AE19" i="5"/>
  <c r="AF19" i="5"/>
  <c r="AD20" i="5"/>
  <c r="AE20" i="5"/>
  <c r="AF20" i="5"/>
  <c r="AD21" i="5"/>
  <c r="AE21" i="5"/>
  <c r="AF21" i="5"/>
  <c r="AD22" i="5"/>
  <c r="AE22" i="5"/>
  <c r="AF22" i="5"/>
  <c r="AD23" i="5"/>
  <c r="AE23" i="5"/>
  <c r="AF23" i="5"/>
  <c r="AD24" i="5"/>
  <c r="AE24" i="5"/>
  <c r="AF24" i="5"/>
  <c r="AD27" i="5"/>
  <c r="AE27" i="5"/>
  <c r="AF27" i="5"/>
  <c r="AD28" i="5"/>
  <c r="AE28" i="5"/>
  <c r="AF28" i="5"/>
  <c r="AD29" i="5"/>
  <c r="AE29" i="5"/>
  <c r="AF29" i="5"/>
  <c r="AD30" i="5"/>
  <c r="AE30" i="5"/>
  <c r="AF30" i="5"/>
  <c r="AD31" i="5"/>
  <c r="AE31" i="5"/>
  <c r="AF31" i="5"/>
  <c r="AD32" i="5"/>
  <c r="AE32" i="5"/>
  <c r="AF32" i="5"/>
  <c r="AD33" i="5"/>
  <c r="AE33" i="5"/>
  <c r="AF33" i="5"/>
  <c r="AD34" i="5"/>
  <c r="AE34" i="5"/>
  <c r="AF34" i="5"/>
  <c r="AC36" i="5"/>
  <c r="AC37" i="5"/>
  <c r="C195" i="5"/>
  <c r="D195" i="21" s="1"/>
  <c r="C164" i="5"/>
  <c r="D164" i="21" s="1"/>
  <c r="C151" i="5"/>
  <c r="C119" i="5"/>
  <c r="C114" i="5"/>
  <c r="D114" i="21" s="1"/>
  <c r="C110" i="5"/>
  <c r="C108" i="5"/>
  <c r="D108" i="21" s="1"/>
  <c r="C96" i="5"/>
  <c r="C67" i="5"/>
  <c r="C42" i="5"/>
  <c r="B218" i="13"/>
  <c r="Z218" i="13" s="1"/>
  <c r="B219" i="13"/>
  <c r="Z219" i="13" s="1"/>
  <c r="B220" i="13"/>
  <c r="Z220" i="13" s="1"/>
  <c r="B221" i="13"/>
  <c r="Z221" i="13" s="1"/>
  <c r="B222" i="13"/>
  <c r="Z222" i="13" s="1"/>
  <c r="B223" i="13"/>
  <c r="Z223" i="13" s="1"/>
  <c r="B224" i="13"/>
  <c r="Z224" i="13" s="1"/>
  <c r="B225" i="13"/>
  <c r="Z225" i="13" s="1"/>
  <c r="B226" i="13"/>
  <c r="Z226" i="13" s="1"/>
  <c r="B227" i="13"/>
  <c r="Z227" i="13" s="1"/>
  <c r="B228" i="13"/>
  <c r="Z228" i="13" s="1"/>
  <c r="B229" i="13"/>
  <c r="Z229" i="13" s="1"/>
  <c r="B230" i="13"/>
  <c r="Z230" i="13" s="1"/>
  <c r="B217" i="13"/>
  <c r="Z217" i="13" s="1"/>
  <c r="E227" i="13"/>
  <c r="E228" i="13"/>
  <c r="E229" i="13"/>
  <c r="E230" i="13"/>
  <c r="B211" i="13"/>
  <c r="C211" i="13" s="1"/>
  <c r="B208" i="13"/>
  <c r="C208" i="13" s="1"/>
  <c r="B204" i="13"/>
  <c r="C204" i="13" s="1"/>
  <c r="B200" i="13"/>
  <c r="C200" i="13" s="1"/>
  <c r="B192" i="13"/>
  <c r="C192" i="13" s="1"/>
  <c r="B189" i="13"/>
  <c r="C189" i="13" s="1"/>
  <c r="B187" i="13"/>
  <c r="C187" i="13" s="1"/>
  <c r="B183" i="13"/>
  <c r="C183" i="13" s="1"/>
  <c r="B179" i="13"/>
  <c r="C179" i="13" s="1"/>
  <c r="B175" i="13"/>
  <c r="C175" i="13" s="1"/>
  <c r="B171" i="13"/>
  <c r="C171" i="13" s="1"/>
  <c r="B169" i="13"/>
  <c r="C169" i="13" s="1"/>
  <c r="B164" i="13"/>
  <c r="C164" i="13" s="1"/>
  <c r="B162" i="13"/>
  <c r="C162" i="13" s="1"/>
  <c r="B160" i="13"/>
  <c r="C160" i="13" s="1"/>
  <c r="B155" i="13"/>
  <c r="C155" i="13" s="1"/>
  <c r="B148" i="13"/>
  <c r="C148" i="13" s="1"/>
  <c r="B144" i="13"/>
  <c r="C144" i="13" s="1"/>
  <c r="B138" i="13"/>
  <c r="C138" i="13" s="1"/>
  <c r="B134" i="13"/>
  <c r="C134" i="13" s="1"/>
  <c r="B130" i="13"/>
  <c r="C130" i="13" s="1"/>
  <c r="B126" i="13"/>
  <c r="C126" i="13" s="1"/>
  <c r="B121" i="13"/>
  <c r="C121" i="13" s="1"/>
  <c r="B117" i="13"/>
  <c r="C117" i="13" s="1"/>
  <c r="B115" i="13"/>
  <c r="C115" i="13" s="1"/>
  <c r="B113" i="13"/>
  <c r="C113" i="13" s="1"/>
  <c r="B103" i="13"/>
  <c r="C103" i="13" s="1"/>
  <c r="B100" i="13"/>
  <c r="C100" i="13" s="1"/>
  <c r="B93" i="13"/>
  <c r="C93" i="13" s="1"/>
  <c r="B90" i="13"/>
  <c r="C90" i="13" s="1"/>
  <c r="B86" i="13"/>
  <c r="C86" i="13" s="1"/>
  <c r="B83" i="13"/>
  <c r="C83" i="13" s="1"/>
  <c r="B79" i="13"/>
  <c r="C79" i="13" s="1"/>
  <c r="B75" i="13"/>
  <c r="C75" i="13" s="1"/>
  <c r="B69" i="13"/>
  <c r="C69" i="13" s="1"/>
  <c r="B63" i="13"/>
  <c r="C63" i="13" s="1"/>
  <c r="B59" i="13"/>
  <c r="C59" i="13" s="1"/>
  <c r="B56" i="13"/>
  <c r="C56" i="13" s="1"/>
  <c r="B51" i="13"/>
  <c r="C51" i="13" s="1"/>
  <c r="B46" i="13"/>
  <c r="C46" i="13" s="1"/>
  <c r="B39" i="13"/>
  <c r="C39" i="13" s="1"/>
  <c r="B30" i="13"/>
  <c r="C30" i="13" s="1"/>
  <c r="B26" i="13"/>
  <c r="C26" i="13" s="1"/>
  <c r="B19" i="13"/>
  <c r="C19" i="13" s="1"/>
  <c r="B16" i="13"/>
  <c r="C16" i="13" s="1"/>
  <c r="C17" i="13" s="1"/>
  <c r="C18" i="13" s="1"/>
  <c r="B10" i="13"/>
  <c r="B212" i="13"/>
  <c r="Z212" i="13" s="1"/>
  <c r="B213" i="13"/>
  <c r="Z213" i="13" s="1"/>
  <c r="B209" i="13"/>
  <c r="Z209" i="13" s="1"/>
  <c r="W209" i="13" s="1"/>
  <c r="B210" i="13"/>
  <c r="Z210" i="13" s="1"/>
  <c r="B205" i="13"/>
  <c r="Z205" i="13" s="1"/>
  <c r="W205" i="13" s="1"/>
  <c r="B206" i="13"/>
  <c r="Z206" i="13" s="1"/>
  <c r="W206" i="13" s="1"/>
  <c r="B201" i="13"/>
  <c r="Z201" i="13" s="1"/>
  <c r="B194" i="13"/>
  <c r="Z194" i="13" s="1"/>
  <c r="B196" i="13"/>
  <c r="Z196" i="13" s="1"/>
  <c r="B191" i="13"/>
  <c r="Z191" i="13" s="1"/>
  <c r="Z189" i="13" s="1"/>
  <c r="B188" i="13"/>
  <c r="Z188" i="13" s="1"/>
  <c r="Z187" i="13" s="1"/>
  <c r="B185" i="13"/>
  <c r="Z185" i="13" s="1"/>
  <c r="B186" i="13"/>
  <c r="Z186" i="13" s="1"/>
  <c r="B181" i="13"/>
  <c r="Z181" i="13" s="1"/>
  <c r="B182" i="13"/>
  <c r="Z182" i="13" s="1"/>
  <c r="B177" i="13"/>
  <c r="Z177" i="13" s="1"/>
  <c r="B178" i="13"/>
  <c r="Z178" i="13" s="1"/>
  <c r="B173" i="13"/>
  <c r="Z173" i="13" s="1"/>
  <c r="B174" i="13"/>
  <c r="Z174" i="13" s="1"/>
  <c r="B170" i="13"/>
  <c r="Z170" i="13" s="1"/>
  <c r="Z169" i="13" s="1"/>
  <c r="B165" i="13"/>
  <c r="Z165" i="13" s="1"/>
  <c r="Z164" i="13" s="1"/>
  <c r="B163" i="13"/>
  <c r="Z163" i="13" s="1"/>
  <c r="Z162" i="13" s="1"/>
  <c r="B161" i="13"/>
  <c r="Z161" i="13" s="1"/>
  <c r="Z160" i="13" s="1"/>
  <c r="B156" i="13"/>
  <c r="Z156" i="13" s="1"/>
  <c r="B157" i="13"/>
  <c r="Z157" i="13" s="1"/>
  <c r="B158" i="13"/>
  <c r="Z158" i="13" s="1"/>
  <c r="B149" i="13"/>
  <c r="Z149" i="13" s="1"/>
  <c r="B150" i="13"/>
  <c r="Z150" i="13" s="1"/>
  <c r="B151" i="13"/>
  <c r="Z151" i="13" s="1"/>
  <c r="B145" i="13"/>
  <c r="Z145" i="13" s="1"/>
  <c r="B146" i="13"/>
  <c r="Z146" i="13" s="1"/>
  <c r="B147" i="13"/>
  <c r="Z147" i="13" s="1"/>
  <c r="B140" i="13"/>
  <c r="Z140" i="13" s="1"/>
  <c r="B141" i="13"/>
  <c r="Z141" i="13" s="1"/>
  <c r="B142" i="13"/>
  <c r="Z142" i="13" s="1"/>
  <c r="B136" i="13"/>
  <c r="Z136" i="13" s="1"/>
  <c r="B137" i="13"/>
  <c r="Z137" i="13" s="1"/>
  <c r="B132" i="13"/>
  <c r="Z132" i="13" s="1"/>
  <c r="B133" i="13"/>
  <c r="Z133" i="13" s="1"/>
  <c r="B128" i="13"/>
  <c r="Z128" i="13" s="1"/>
  <c r="B129" i="13"/>
  <c r="Z129" i="13" s="1"/>
  <c r="B122" i="13"/>
  <c r="Z122" i="13" s="1"/>
  <c r="Z121" i="13" s="1"/>
  <c r="B118" i="13"/>
  <c r="Z118" i="13" s="1"/>
  <c r="B119" i="13"/>
  <c r="Z119" i="13" s="1"/>
  <c r="B120" i="13"/>
  <c r="Z120" i="13" s="1"/>
  <c r="B116" i="13"/>
  <c r="Z116" i="13" s="1"/>
  <c r="Z115" i="13" s="1"/>
  <c r="B114" i="13"/>
  <c r="Z114" i="13" s="1"/>
  <c r="Z113" i="13" s="1"/>
  <c r="B105" i="13"/>
  <c r="Z105" i="13" s="1"/>
  <c r="B101" i="13"/>
  <c r="Z101" i="13" s="1"/>
  <c r="B102" i="13"/>
  <c r="Z102" i="13" s="1"/>
  <c r="B94" i="13"/>
  <c r="Z94" i="13" s="1"/>
  <c r="Z93" i="13" s="1"/>
  <c r="B91" i="13"/>
  <c r="Z91" i="13" s="1"/>
  <c r="B92" i="13"/>
  <c r="Z92" i="13" s="1"/>
  <c r="B87" i="13"/>
  <c r="Z87" i="13" s="1"/>
  <c r="B89" i="13"/>
  <c r="Z89" i="13" s="1"/>
  <c r="B84" i="13"/>
  <c r="Z84" i="13" s="1"/>
  <c r="B85" i="13"/>
  <c r="Z85" i="13" s="1"/>
  <c r="B80" i="13"/>
  <c r="Z80" i="13" s="1"/>
  <c r="W80" i="13" s="1"/>
  <c r="W81" i="13" s="1"/>
  <c r="B81" i="13"/>
  <c r="Z81" i="13" s="1"/>
  <c r="B76" i="13"/>
  <c r="Z76" i="13" s="1"/>
  <c r="B77" i="13"/>
  <c r="Z77" i="13" s="1"/>
  <c r="B78" i="13"/>
  <c r="Z78" i="13" s="1"/>
  <c r="B70" i="13"/>
  <c r="Z70" i="13" s="1"/>
  <c r="B71" i="13"/>
  <c r="Z71" i="13" s="1"/>
  <c r="B72" i="13"/>
  <c r="Z72" i="13" s="1"/>
  <c r="B73" i="13"/>
  <c r="Z73" i="13" s="1"/>
  <c r="B74" i="13"/>
  <c r="Z74" i="13" s="1"/>
  <c r="B64" i="13"/>
  <c r="Z64" i="13" s="1"/>
  <c r="Z63" i="13" s="1"/>
  <c r="B60" i="13"/>
  <c r="Z60" i="13" s="1"/>
  <c r="B61" i="13"/>
  <c r="Z61" i="13" s="1"/>
  <c r="B58" i="13"/>
  <c r="Z58" i="13" s="1"/>
  <c r="Z56" i="13" s="1"/>
  <c r="B52" i="13"/>
  <c r="Z52" i="13" s="1"/>
  <c r="B53" i="13"/>
  <c r="Z53" i="13" s="1"/>
  <c r="B54" i="13"/>
  <c r="Z54" i="13" s="1"/>
  <c r="B48" i="13"/>
  <c r="Z48" i="13" s="1"/>
  <c r="B49" i="13"/>
  <c r="Z49" i="13" s="1"/>
  <c r="B50" i="13"/>
  <c r="Z50" i="13" s="1"/>
  <c r="B41" i="13"/>
  <c r="Z41" i="13" s="1"/>
  <c r="B42" i="13"/>
  <c r="Z42" i="13" s="1"/>
  <c r="B43" i="13"/>
  <c r="Z43" i="13" s="1"/>
  <c r="B44" i="13"/>
  <c r="Z44" i="13" s="1"/>
  <c r="B45" i="13"/>
  <c r="Z45" i="13" s="1"/>
  <c r="B31" i="13"/>
  <c r="Z31" i="13" s="1"/>
  <c r="B32" i="13"/>
  <c r="Z32" i="13" s="1"/>
  <c r="B33" i="13"/>
  <c r="Z33" i="13" s="1"/>
  <c r="B27" i="13"/>
  <c r="Z27" i="13" s="1"/>
  <c r="B28" i="13"/>
  <c r="Z28" i="13" s="1"/>
  <c r="B29" i="13"/>
  <c r="Z29" i="13" s="1"/>
  <c r="B20" i="13"/>
  <c r="Z20" i="13" s="1"/>
  <c r="B21" i="13"/>
  <c r="Z21" i="13" s="1"/>
  <c r="B22" i="13"/>
  <c r="Z22" i="13" s="1"/>
  <c r="B25" i="13"/>
  <c r="Z25" i="13" s="1"/>
  <c r="B17" i="13"/>
  <c r="Z17" i="13" s="1"/>
  <c r="B18" i="13"/>
  <c r="Z18" i="13" s="1"/>
  <c r="B11" i="13"/>
  <c r="B12" i="13"/>
  <c r="Z12" i="13" s="1"/>
  <c r="B13" i="13"/>
  <c r="B14" i="13"/>
  <c r="Z14" i="13" s="1"/>
  <c r="B15" i="13"/>
  <c r="Z15" i="13" s="1"/>
  <c r="E13" i="5" l="1"/>
  <c r="B79" i="11"/>
  <c r="B55" i="11"/>
  <c r="B76" i="11"/>
  <c r="B59" i="11"/>
  <c r="B80" i="11"/>
  <c r="B83" i="11"/>
  <c r="B62" i="11"/>
  <c r="B82" i="11"/>
  <c r="B63" i="11"/>
  <c r="B81" i="11"/>
  <c r="C10" i="13"/>
  <c r="C11" i="13" s="1"/>
  <c r="C12" i="13" s="1"/>
  <c r="C13" i="13" s="1"/>
  <c r="C14" i="13" s="1"/>
  <c r="C15" i="13" s="1"/>
  <c r="B71" i="11"/>
  <c r="B66" i="11"/>
  <c r="B72" i="11"/>
  <c r="B69" i="11"/>
  <c r="B70" i="11"/>
  <c r="B75" i="11"/>
  <c r="C20" i="13"/>
  <c r="C21" i="13" s="1"/>
  <c r="C22" i="13" s="1"/>
  <c r="C23" i="13" s="1"/>
  <c r="C24" i="13" s="1"/>
  <c r="C25" i="13" s="1"/>
  <c r="C27" i="13" s="1"/>
  <c r="C28" i="13" s="1"/>
  <c r="C29" i="13" s="1"/>
  <c r="C31" i="13" s="1"/>
  <c r="C32" i="13" s="1"/>
  <c r="C33" i="13" s="1"/>
  <c r="C40" i="13" s="1"/>
  <c r="C41" i="13" s="1"/>
  <c r="C42" i="13" s="1"/>
  <c r="C43" i="13" s="1"/>
  <c r="C44" i="13" s="1"/>
  <c r="C45" i="13" s="1"/>
  <c r="C47" i="13" s="1"/>
  <c r="C48" i="13" s="1"/>
  <c r="C49" i="13" s="1"/>
  <c r="C50" i="13" s="1"/>
  <c r="C52" i="13" s="1"/>
  <c r="C53" i="13" s="1"/>
  <c r="C54" i="13" s="1"/>
  <c r="C57" i="13" s="1"/>
  <c r="C58" i="13" s="1"/>
  <c r="C60" i="13" s="1"/>
  <c r="C61" i="13" s="1"/>
  <c r="C64" i="13" s="1"/>
  <c r="C70" i="13" s="1"/>
  <c r="C71" i="13" s="1"/>
  <c r="C72" i="13" s="1"/>
  <c r="C73" i="13" s="1"/>
  <c r="C74" i="13" s="1"/>
  <c r="C76" i="13" s="1"/>
  <c r="C77" i="13" s="1"/>
  <c r="C78" i="13" s="1"/>
  <c r="C80" i="13" s="1"/>
  <c r="C81" i="13" s="1"/>
  <c r="C84" i="13" s="1"/>
  <c r="C85" i="13" s="1"/>
  <c r="C87" i="13" s="1"/>
  <c r="C88" i="13" s="1"/>
  <c r="C89" i="13" s="1"/>
  <c r="C91" i="13" s="1"/>
  <c r="C92" i="13" s="1"/>
  <c r="C94" i="13" s="1"/>
  <c r="C101" i="13" s="1"/>
  <c r="C102" i="13" s="1"/>
  <c r="C104" i="13" s="1"/>
  <c r="C105" i="13" s="1"/>
  <c r="C114" i="13" s="1"/>
  <c r="C116" i="13" s="1"/>
  <c r="C118" i="13" s="1"/>
  <c r="C119" i="13" s="1"/>
  <c r="C120" i="13" s="1"/>
  <c r="C122" i="13" s="1"/>
  <c r="C127" i="13" s="1"/>
  <c r="C128" i="13" s="1"/>
  <c r="C129" i="13" s="1"/>
  <c r="C131" i="13" s="1"/>
  <c r="C132" i="13" s="1"/>
  <c r="C133" i="13" s="1"/>
  <c r="C135" i="13" s="1"/>
  <c r="C136" i="13" s="1"/>
  <c r="C137" i="13" s="1"/>
  <c r="C139" i="13" s="1"/>
  <c r="C140" i="13" s="1"/>
  <c r="C141" i="13" s="1"/>
  <c r="C142" i="13" s="1"/>
  <c r="C143" i="13" s="1"/>
  <c r="C145" i="13" s="1"/>
  <c r="C146" i="13" s="1"/>
  <c r="C147" i="13" s="1"/>
  <c r="C149" i="13" s="1"/>
  <c r="C150" i="13" s="1"/>
  <c r="C151" i="13" s="1"/>
  <c r="C156" i="13" s="1"/>
  <c r="C157" i="13" s="1"/>
  <c r="C158" i="13" s="1"/>
  <c r="C161" i="13" s="1"/>
  <c r="C163" i="13" s="1"/>
  <c r="C165" i="13" s="1"/>
  <c r="C170" i="13" s="1"/>
  <c r="C172" i="13" s="1"/>
  <c r="C173" i="13" s="1"/>
  <c r="C174" i="13" s="1"/>
  <c r="C176" i="13" s="1"/>
  <c r="C177" i="13" s="1"/>
  <c r="C178" i="13" s="1"/>
  <c r="C180" i="13" s="1"/>
  <c r="C181" i="13" s="1"/>
  <c r="C182" i="13" s="1"/>
  <c r="C184" i="13" s="1"/>
  <c r="C185" i="13" s="1"/>
  <c r="C186" i="13" s="1"/>
  <c r="C188" i="13" s="1"/>
  <c r="C190" i="13" s="1"/>
  <c r="C191" i="13" s="1"/>
  <c r="C193" i="13" s="1"/>
  <c r="C194" i="13" s="1"/>
  <c r="C195" i="13" s="1"/>
  <c r="C196" i="13" s="1"/>
  <c r="C201" i="13" s="1"/>
  <c r="C202" i="13" s="1"/>
  <c r="C203" i="13" s="1"/>
  <c r="C205" i="13" s="1"/>
  <c r="C206" i="13" s="1"/>
  <c r="C209" i="13" s="1"/>
  <c r="C210" i="13" s="1"/>
  <c r="C212" i="13" s="1"/>
  <c r="C213" i="13" s="1"/>
  <c r="C43" i="5"/>
  <c r="D42" i="21"/>
  <c r="C68" i="5"/>
  <c r="D68" i="21" s="1"/>
  <c r="D67" i="21"/>
  <c r="C97" i="5"/>
  <c r="D96" i="21"/>
  <c r="C111" i="5"/>
  <c r="D110" i="21"/>
  <c r="C120" i="5"/>
  <c r="D119" i="21"/>
  <c r="C152" i="5"/>
  <c r="D152" i="21" s="1"/>
  <c r="D151" i="21"/>
  <c r="V137" i="5"/>
  <c r="O137" i="5"/>
  <c r="H137" i="5"/>
  <c r="E137" i="5"/>
  <c r="C70" i="5"/>
  <c r="D70" i="21" s="1"/>
  <c r="C69" i="5"/>
  <c r="V70" i="5"/>
  <c r="E105" i="5"/>
  <c r="E70" i="5"/>
  <c r="W70" i="5"/>
  <c r="E149" i="5"/>
  <c r="P70" i="5"/>
  <c r="H70" i="5"/>
  <c r="I70" i="5"/>
  <c r="O70" i="5"/>
  <c r="E26" i="5"/>
  <c r="E26" i="21" s="1"/>
  <c r="C167" i="5"/>
  <c r="C165" i="5"/>
  <c r="D165" i="21" s="1"/>
  <c r="Z19" i="13"/>
  <c r="O165" i="5"/>
  <c r="H165" i="5"/>
  <c r="E165" i="5"/>
  <c r="V165" i="5"/>
  <c r="C155" i="5"/>
  <c r="V153" i="5"/>
  <c r="O153" i="5"/>
  <c r="E153" i="5"/>
  <c r="H153" i="5"/>
  <c r="W189" i="5"/>
  <c r="P189" i="5"/>
  <c r="I189" i="5"/>
  <c r="E189" i="5"/>
  <c r="E39" i="5"/>
  <c r="V39" i="5"/>
  <c r="V39" i="21" s="1"/>
  <c r="H39" i="5"/>
  <c r="H39" i="21" s="1"/>
  <c r="O39" i="5"/>
  <c r="O39" i="21" s="1"/>
  <c r="E163" i="5"/>
  <c r="E14" i="5"/>
  <c r="E14" i="21" s="1"/>
  <c r="P172" i="5"/>
  <c r="P171" i="5"/>
  <c r="W172" i="5"/>
  <c r="W171" i="5"/>
  <c r="P85" i="5"/>
  <c r="W85" i="5"/>
  <c r="P135" i="5"/>
  <c r="W135" i="5"/>
  <c r="W190" i="5"/>
  <c r="W112" i="5"/>
  <c r="P142" i="5"/>
  <c r="W42" i="5"/>
  <c r="P195" i="5"/>
  <c r="W57" i="5"/>
  <c r="P29" i="5"/>
  <c r="P29" i="21" s="1"/>
  <c r="P179" i="5"/>
  <c r="P43" i="5"/>
  <c r="W81" i="5"/>
  <c r="P59" i="5"/>
  <c r="P108" i="5"/>
  <c r="W129" i="5"/>
  <c r="P198" i="5"/>
  <c r="W89" i="5"/>
  <c r="W15" i="5"/>
  <c r="W15" i="21" s="1"/>
  <c r="W121" i="5"/>
  <c r="P206" i="5"/>
  <c r="W59" i="5"/>
  <c r="W195" i="5"/>
  <c r="P200" i="5"/>
  <c r="W52" i="5"/>
  <c r="P74" i="5"/>
  <c r="P204" i="5"/>
  <c r="P79" i="5"/>
  <c r="W75" i="5"/>
  <c r="P34" i="5"/>
  <c r="P34" i="21" s="1"/>
  <c r="P139" i="5"/>
  <c r="W32" i="5"/>
  <c r="W32" i="21" s="1"/>
  <c r="W29" i="5"/>
  <c r="W29" i="21" s="1"/>
  <c r="W133" i="5"/>
  <c r="W142" i="5"/>
  <c r="W53" i="5"/>
  <c r="W200" i="5"/>
  <c r="P207" i="5"/>
  <c r="W72" i="5"/>
  <c r="P27" i="5"/>
  <c r="P27" i="21" s="1"/>
  <c r="P188" i="5"/>
  <c r="P18" i="5"/>
  <c r="P18" i="21" s="1"/>
  <c r="W96" i="5"/>
  <c r="P32" i="5"/>
  <c r="P32" i="21" s="1"/>
  <c r="P129" i="5"/>
  <c r="P62" i="5"/>
  <c r="P86" i="5"/>
  <c r="W19" i="5"/>
  <c r="W19" i="21" s="1"/>
  <c r="W128" i="5"/>
  <c r="W206" i="5"/>
  <c r="W67" i="5"/>
  <c r="P48" i="5"/>
  <c r="W91" i="5"/>
  <c r="P67" i="5"/>
  <c r="P19" i="5"/>
  <c r="P19" i="21" s="1"/>
  <c r="P84" i="5"/>
  <c r="W108" i="5"/>
  <c r="P21" i="5"/>
  <c r="P21" i="21" s="1"/>
  <c r="P124" i="5"/>
  <c r="P52" i="5"/>
  <c r="W43" i="5"/>
  <c r="W176" i="5"/>
  <c r="W84" i="5"/>
  <c r="P14" i="5"/>
  <c r="P14" i="21" s="1"/>
  <c r="W207" i="5"/>
  <c r="W82" i="5"/>
  <c r="P41" i="5"/>
  <c r="P112" i="5"/>
  <c r="P45" i="5"/>
  <c r="W139" i="5"/>
  <c r="P44" i="5"/>
  <c r="P44" i="21" s="1"/>
  <c r="P185" i="5"/>
  <c r="P42" i="5"/>
  <c r="W60" i="5"/>
  <c r="W169" i="5"/>
  <c r="P68" i="5"/>
  <c r="W78" i="5"/>
  <c r="P100" i="5"/>
  <c r="P54" i="5"/>
  <c r="W76" i="5"/>
  <c r="W54" i="5"/>
  <c r="W197" i="5"/>
  <c r="P133" i="5"/>
  <c r="W100" i="5"/>
  <c r="P111" i="5"/>
  <c r="P128" i="5"/>
  <c r="W110" i="5"/>
  <c r="P91" i="5"/>
  <c r="P78" i="5"/>
  <c r="W21" i="5"/>
  <c r="W21" i="21" s="1"/>
  <c r="W124" i="5"/>
  <c r="P50" i="5"/>
  <c r="P203" i="5"/>
  <c r="P96" i="5"/>
  <c r="W48" i="5"/>
  <c r="W201" i="5"/>
  <c r="P176" i="5"/>
  <c r="W111" i="5"/>
  <c r="P132" i="5"/>
  <c r="P53" i="5"/>
  <c r="W140" i="5"/>
  <c r="P82" i="5"/>
  <c r="P22" i="5"/>
  <c r="P22" i="21" s="1"/>
  <c r="W44" i="5"/>
  <c r="W185" i="5"/>
  <c r="P190" i="5"/>
  <c r="W68" i="5"/>
  <c r="P60" i="5"/>
  <c r="P197" i="5"/>
  <c r="W132" i="5"/>
  <c r="P156" i="5"/>
  <c r="W34" i="5"/>
  <c r="W34" i="21" s="1"/>
  <c r="W125" i="5"/>
  <c r="P110" i="5"/>
  <c r="P57" i="5"/>
  <c r="W62" i="5"/>
  <c r="W198" i="5"/>
  <c r="P89" i="5"/>
  <c r="W86" i="5"/>
  <c r="P121" i="5"/>
  <c r="W14" i="5"/>
  <c r="W14" i="21" s="1"/>
  <c r="W156" i="5"/>
  <c r="P180" i="5"/>
  <c r="W22" i="5"/>
  <c r="W22" i="21" s="1"/>
  <c r="W164" i="5"/>
  <c r="P140" i="5"/>
  <c r="P72" i="5"/>
  <c r="W50" i="5"/>
  <c r="W203" i="5"/>
  <c r="P81" i="5"/>
  <c r="W79" i="5"/>
  <c r="P169" i="5"/>
  <c r="W27" i="5"/>
  <c r="W27" i="21" s="1"/>
  <c r="W180" i="5"/>
  <c r="W45" i="5"/>
  <c r="W179" i="5"/>
  <c r="P125" i="5"/>
  <c r="P76" i="5"/>
  <c r="P15" i="5"/>
  <c r="P15" i="21" s="1"/>
  <c r="P75" i="5"/>
  <c r="W74" i="5"/>
  <c r="P201" i="5"/>
  <c r="W18" i="5"/>
  <c r="W18" i="21" s="1"/>
  <c r="W41" i="5"/>
  <c r="W204" i="5"/>
  <c r="P164" i="5"/>
  <c r="W188" i="5"/>
  <c r="W212" i="13"/>
  <c r="W201" i="13"/>
  <c r="E11" i="5"/>
  <c r="V99" i="5"/>
  <c r="O99" i="5"/>
  <c r="H99" i="5"/>
  <c r="E85" i="5"/>
  <c r="I85" i="5"/>
  <c r="E25" i="5"/>
  <c r="E25" i="21" s="1"/>
  <c r="E197" i="5"/>
  <c r="O196" i="5"/>
  <c r="H196" i="5"/>
  <c r="I197" i="5"/>
  <c r="C139" i="5"/>
  <c r="Z83" i="13"/>
  <c r="Z86" i="13"/>
  <c r="Z192" i="13"/>
  <c r="Z144" i="13"/>
  <c r="Z171" i="13"/>
  <c r="Z148" i="13"/>
  <c r="Z175" i="13"/>
  <c r="Z179" i="13"/>
  <c r="Z155" i="13"/>
  <c r="Z183" i="13"/>
  <c r="E135" i="5"/>
  <c r="I135" i="5"/>
  <c r="Z138" i="13"/>
  <c r="Z51" i="13"/>
  <c r="Z75" i="13"/>
  <c r="Z100" i="13"/>
  <c r="Z26" i="13"/>
  <c r="Z117" i="13"/>
  <c r="E196" i="5"/>
  <c r="Z11" i="13"/>
  <c r="E198" i="5"/>
  <c r="I198" i="5"/>
  <c r="Z39" i="13"/>
  <c r="Z46" i="13"/>
  <c r="Z69" i="13"/>
  <c r="Z126" i="13"/>
  <c r="E223" i="5"/>
  <c r="Z13" i="13"/>
  <c r="Z130" i="13"/>
  <c r="Z30" i="13"/>
  <c r="Z103" i="13"/>
  <c r="Z134" i="13"/>
  <c r="Z79" i="13"/>
  <c r="Z16" i="13"/>
  <c r="Z59" i="13"/>
  <c r="C200" i="5"/>
  <c r="C196" i="5"/>
  <c r="D196" i="21" s="1"/>
  <c r="I18" i="5"/>
  <c r="I18" i="21" s="1"/>
  <c r="E17" i="5"/>
  <c r="E17" i="21" s="1"/>
  <c r="E30" i="5"/>
  <c r="E30" i="21" s="1"/>
  <c r="E16" i="5"/>
  <c r="E16" i="21" s="1"/>
  <c r="E224" i="5"/>
  <c r="I21" i="5"/>
  <c r="I21" i="21" s="1"/>
  <c r="E29" i="5"/>
  <c r="E29" i="21" s="1"/>
  <c r="I19" i="5"/>
  <c r="I19" i="21" s="1"/>
  <c r="I22" i="5"/>
  <c r="I22" i="21" s="1"/>
  <c r="E28" i="5"/>
  <c r="E28" i="21" s="1"/>
  <c r="H187" i="5"/>
  <c r="H184" i="5"/>
  <c r="H178" i="5"/>
  <c r="H131" i="5"/>
  <c r="H123" i="5"/>
  <c r="H47" i="5"/>
  <c r="E186" i="5"/>
  <c r="E90" i="5"/>
  <c r="E109" i="5"/>
  <c r="I180" i="5"/>
  <c r="I128" i="5"/>
  <c r="I91" i="5"/>
  <c r="I60" i="5"/>
  <c r="E183" i="5"/>
  <c r="E156" i="5"/>
  <c r="E87" i="5"/>
  <c r="E148" i="5"/>
  <c r="V47" i="5"/>
  <c r="E51" i="5"/>
  <c r="I200" i="5"/>
  <c r="I133" i="5"/>
  <c r="I108" i="5"/>
  <c r="I42" i="5"/>
  <c r="E206" i="5"/>
  <c r="E203" i="5"/>
  <c r="E200" i="5"/>
  <c r="E190" i="5"/>
  <c r="E187" i="5"/>
  <c r="E184" i="5"/>
  <c r="E180" i="5"/>
  <c r="E178" i="5"/>
  <c r="E175" i="5"/>
  <c r="E172" i="5"/>
  <c r="E168" i="5"/>
  <c r="E164" i="5"/>
  <c r="E157" i="5"/>
  <c r="E152" i="5"/>
  <c r="E143" i="5"/>
  <c r="E140" i="5"/>
  <c r="E138" i="5"/>
  <c r="E133" i="5"/>
  <c r="E131" i="5"/>
  <c r="E128" i="5"/>
  <c r="E125" i="5"/>
  <c r="E123" i="5"/>
  <c r="E120" i="5"/>
  <c r="E114" i="5"/>
  <c r="E111" i="5"/>
  <c r="E108" i="5"/>
  <c r="E100" i="5"/>
  <c r="E97" i="5"/>
  <c r="E91" i="5"/>
  <c r="E88" i="5"/>
  <c r="E84" i="5"/>
  <c r="E81" i="5"/>
  <c r="E78" i="5"/>
  <c r="E75" i="5"/>
  <c r="E72" i="5"/>
  <c r="E69" i="5"/>
  <c r="E67" i="5"/>
  <c r="E60" i="5"/>
  <c r="E57" i="5"/>
  <c r="E54" i="5"/>
  <c r="E52" i="5"/>
  <c r="E49" i="5"/>
  <c r="E47" i="5"/>
  <c r="E44" i="5"/>
  <c r="E42" i="5"/>
  <c r="E181" i="5"/>
  <c r="E154" i="5"/>
  <c r="E83" i="5"/>
  <c r="E118" i="5"/>
  <c r="I111" i="5"/>
  <c r="I72" i="5"/>
  <c r="V174" i="5"/>
  <c r="V167" i="5"/>
  <c r="V127" i="5"/>
  <c r="V119" i="5"/>
  <c r="V56" i="5"/>
  <c r="E177" i="5"/>
  <c r="E141" i="5"/>
  <c r="E80" i="5"/>
  <c r="E104" i="5"/>
  <c r="E104" i="21" s="1"/>
  <c r="E107" i="5"/>
  <c r="I190" i="5"/>
  <c r="I190" i="21" s="1"/>
  <c r="I125" i="5"/>
  <c r="I57" i="5"/>
  <c r="E98" i="5"/>
  <c r="O174" i="5"/>
  <c r="O167" i="5"/>
  <c r="O127" i="5"/>
  <c r="O119" i="5"/>
  <c r="O56" i="5"/>
  <c r="E173" i="5"/>
  <c r="E136" i="5"/>
  <c r="E77" i="5"/>
  <c r="E95" i="5"/>
  <c r="E95" i="21" s="1"/>
  <c r="V123" i="5"/>
  <c r="I81" i="5"/>
  <c r="I54" i="5"/>
  <c r="I207" i="5"/>
  <c r="I204" i="5"/>
  <c r="I201" i="5"/>
  <c r="I195" i="5"/>
  <c r="I188" i="5"/>
  <c r="I185" i="5"/>
  <c r="I179" i="5"/>
  <c r="I176" i="5"/>
  <c r="I169" i="5"/>
  <c r="I142" i="5"/>
  <c r="I139" i="5"/>
  <c r="I132" i="5"/>
  <c r="I129" i="5"/>
  <c r="I124" i="5"/>
  <c r="I121" i="5"/>
  <c r="I112" i="5"/>
  <c r="I110" i="5"/>
  <c r="I96" i="5"/>
  <c r="I89" i="5"/>
  <c r="I86" i="5"/>
  <c r="I82" i="5"/>
  <c r="I79" i="5"/>
  <c r="I76" i="5"/>
  <c r="I74" i="5"/>
  <c r="I68" i="5"/>
  <c r="I62" i="5"/>
  <c r="I59" i="5"/>
  <c r="I53" i="5"/>
  <c r="I50" i="5"/>
  <c r="I48" i="5"/>
  <c r="I45" i="5"/>
  <c r="I43" i="5"/>
  <c r="I41" i="5"/>
  <c r="E170" i="5"/>
  <c r="E130" i="5"/>
  <c r="E73" i="5"/>
  <c r="E66" i="5"/>
  <c r="E66" i="21" s="1"/>
  <c r="E46" i="5"/>
  <c r="I164" i="5"/>
  <c r="I67" i="5"/>
  <c r="E199" i="5"/>
  <c r="H174" i="5"/>
  <c r="H167" i="5"/>
  <c r="H127" i="5"/>
  <c r="H119" i="5"/>
  <c r="H56" i="5"/>
  <c r="E166" i="5"/>
  <c r="E163" i="21" s="1"/>
  <c r="E126" i="5"/>
  <c r="E61" i="5"/>
  <c r="E61" i="21" s="1"/>
  <c r="E38" i="5"/>
  <c r="E38" i="21" s="1"/>
  <c r="I100" i="5"/>
  <c r="E158" i="5"/>
  <c r="E158" i="21" s="1"/>
  <c r="E58" i="5"/>
  <c r="E58" i="21" s="1"/>
  <c r="E205" i="5"/>
  <c r="I206" i="5"/>
  <c r="I75" i="5"/>
  <c r="I44" i="5"/>
  <c r="E207" i="5"/>
  <c r="E204" i="5"/>
  <c r="E204" i="21" s="1"/>
  <c r="E201" i="5"/>
  <c r="E195" i="5"/>
  <c r="E188" i="5"/>
  <c r="E185" i="5"/>
  <c r="E182" i="5"/>
  <c r="E179" i="5"/>
  <c r="E176" i="5"/>
  <c r="E174" i="5"/>
  <c r="E171" i="5"/>
  <c r="E169" i="5"/>
  <c r="E167" i="5"/>
  <c r="E159" i="5"/>
  <c r="E155" i="5"/>
  <c r="E151" i="5"/>
  <c r="E144" i="5"/>
  <c r="E142" i="5"/>
  <c r="E139" i="5"/>
  <c r="E137" i="21" s="1"/>
  <c r="E134" i="5"/>
  <c r="E132" i="5"/>
  <c r="E129" i="5"/>
  <c r="E127" i="5"/>
  <c r="E124" i="5"/>
  <c r="E121" i="5"/>
  <c r="E119" i="5"/>
  <c r="E118" i="21" s="1"/>
  <c r="E112" i="5"/>
  <c r="E110" i="5"/>
  <c r="E99" i="5"/>
  <c r="E96" i="5"/>
  <c r="E89" i="5"/>
  <c r="E86" i="5"/>
  <c r="E82" i="5"/>
  <c r="E79" i="5"/>
  <c r="E76" i="5"/>
  <c r="E74" i="5"/>
  <c r="E71" i="5"/>
  <c r="E71" i="21" s="1"/>
  <c r="E68" i="5"/>
  <c r="E68" i="21" s="1"/>
  <c r="E62" i="5"/>
  <c r="E59" i="5"/>
  <c r="E56" i="5"/>
  <c r="E53" i="5"/>
  <c r="E50" i="5"/>
  <c r="E48" i="5"/>
  <c r="E45" i="5"/>
  <c r="E43" i="5"/>
  <c r="E41" i="5"/>
  <c r="E41" i="21" s="1"/>
  <c r="E113" i="5"/>
  <c r="E55" i="5"/>
  <c r="E55" i="21" s="1"/>
  <c r="V131" i="5"/>
  <c r="I84" i="5"/>
  <c r="E194" i="5"/>
  <c r="V187" i="5"/>
  <c r="V184" i="5"/>
  <c r="V178" i="5"/>
  <c r="O187" i="5"/>
  <c r="O184" i="5"/>
  <c r="O178" i="5"/>
  <c r="O131" i="5"/>
  <c r="O123" i="5"/>
  <c r="O47" i="5"/>
  <c r="E202" i="5"/>
  <c r="I156" i="5"/>
  <c r="I203" i="5"/>
  <c r="I140" i="5"/>
  <c r="I78" i="5"/>
  <c r="I52" i="5"/>
  <c r="E27" i="5"/>
  <c r="E27" i="21" s="1"/>
  <c r="I34" i="5"/>
  <c r="I34" i="21" s="1"/>
  <c r="E222" i="5"/>
  <c r="E15" i="5"/>
  <c r="E15" i="21" s="1"/>
  <c r="E24" i="5"/>
  <c r="E24" i="21" s="1"/>
  <c r="I15" i="5"/>
  <c r="I15" i="21" s="1"/>
  <c r="E23" i="5"/>
  <c r="E23" i="21" s="1"/>
  <c r="I32" i="5"/>
  <c r="I32" i="21" s="1"/>
  <c r="I14" i="5"/>
  <c r="I14" i="21" s="1"/>
  <c r="E32" i="5"/>
  <c r="E32" i="21" s="1"/>
  <c r="E13" i="21"/>
  <c r="E22" i="5"/>
  <c r="E22" i="21" s="1"/>
  <c r="E18" i="5"/>
  <c r="E18" i="21" s="1"/>
  <c r="E12" i="5"/>
  <c r="E12" i="21" s="1"/>
  <c r="E21" i="5"/>
  <c r="E21" i="21" s="1"/>
  <c r="I29" i="5"/>
  <c r="I29" i="21" s="1"/>
  <c r="E31" i="5"/>
  <c r="E31" i="21" s="1"/>
  <c r="E34" i="5"/>
  <c r="E34" i="21" s="1"/>
  <c r="E20" i="5"/>
  <c r="E20" i="21" s="1"/>
  <c r="E33" i="5"/>
  <c r="E33" i="21" s="1"/>
  <c r="E19" i="5"/>
  <c r="E19" i="21" s="1"/>
  <c r="E221" i="5"/>
  <c r="AD246" i="5"/>
  <c r="AE246" i="5"/>
  <c r="AF246" i="5"/>
  <c r="E246" i="5"/>
  <c r="E250" i="5"/>
  <c r="E11" i="21" l="1"/>
  <c r="AI131" i="13"/>
  <c r="P190" i="21"/>
  <c r="P60" i="21"/>
  <c r="E43" i="21"/>
  <c r="E157" i="21"/>
  <c r="E184" i="21"/>
  <c r="E96" i="21"/>
  <c r="W43" i="21"/>
  <c r="E39" i="21"/>
  <c r="E155" i="21"/>
  <c r="W207" i="21"/>
  <c r="E154" i="21"/>
  <c r="W45" i="21"/>
  <c r="E53" i="21"/>
  <c r="E185" i="21"/>
  <c r="E45" i="21"/>
  <c r="P68" i="21"/>
  <c r="W190" i="21"/>
  <c r="E86" i="21"/>
  <c r="W60" i="21"/>
  <c r="E50" i="21"/>
  <c r="E89" i="21"/>
  <c r="E59" i="21"/>
  <c r="I44" i="21"/>
  <c r="E205" i="21"/>
  <c r="I45" i="21"/>
  <c r="P207" i="21"/>
  <c r="E56" i="21"/>
  <c r="E188" i="21"/>
  <c r="E46" i="21"/>
  <c r="W53" i="21"/>
  <c r="I207" i="21"/>
  <c r="P54" i="21"/>
  <c r="I43" i="21"/>
  <c r="P42" i="21"/>
  <c r="W68" i="21"/>
  <c r="E60" i="21"/>
  <c r="E183" i="21"/>
  <c r="W42" i="21"/>
  <c r="I204" i="21"/>
  <c r="E222" i="21"/>
  <c r="E67" i="21"/>
  <c r="E152" i="21"/>
  <c r="I60" i="21"/>
  <c r="E69" i="21"/>
  <c r="E114" i="21"/>
  <c r="E115" i="21"/>
  <c r="E206" i="21"/>
  <c r="E48" i="21"/>
  <c r="I42" i="21"/>
  <c r="P53" i="21"/>
  <c r="B54" i="11"/>
  <c r="P204" i="21"/>
  <c r="I53" i="21"/>
  <c r="E42" i="21"/>
  <c r="E105" i="21"/>
  <c r="E144" i="21"/>
  <c r="E145" i="21"/>
  <c r="E44" i="21"/>
  <c r="E189" i="21"/>
  <c r="E47" i="21"/>
  <c r="E51" i="21"/>
  <c r="E186" i="21"/>
  <c r="E224" i="21"/>
  <c r="E225" i="21"/>
  <c r="P43" i="21"/>
  <c r="I189" i="21"/>
  <c r="E62" i="21"/>
  <c r="E63" i="21"/>
  <c r="I68" i="21"/>
  <c r="E49" i="21"/>
  <c r="P189" i="21"/>
  <c r="E159" i="21"/>
  <c r="E160" i="21"/>
  <c r="I54" i="21"/>
  <c r="E52" i="21"/>
  <c r="W189" i="21"/>
  <c r="B56" i="11"/>
  <c r="E207" i="21"/>
  <c r="E208" i="21"/>
  <c r="E54" i="21"/>
  <c r="E187" i="21"/>
  <c r="E223" i="21"/>
  <c r="W54" i="21"/>
  <c r="P45" i="21"/>
  <c r="E57" i="21"/>
  <c r="E143" i="21"/>
  <c r="E190" i="21"/>
  <c r="E191" i="21"/>
  <c r="E156" i="21"/>
  <c r="W44" i="21"/>
  <c r="E153" i="21"/>
  <c r="C121" i="5"/>
  <c r="D120" i="21"/>
  <c r="C112" i="5"/>
  <c r="D112" i="21" s="1"/>
  <c r="D111" i="21"/>
  <c r="C201" i="5"/>
  <c r="D200" i="21"/>
  <c r="C168" i="5"/>
  <c r="D167" i="21"/>
  <c r="C71" i="5"/>
  <c r="D69" i="21"/>
  <c r="C140" i="5"/>
  <c r="D139" i="21"/>
  <c r="C99" i="5"/>
  <c r="D97" i="21"/>
  <c r="C153" i="5"/>
  <c r="D153" i="21" s="1"/>
  <c r="C157" i="5"/>
  <c r="D155" i="21"/>
  <c r="C44" i="5"/>
  <c r="D43" i="21"/>
  <c r="E109" i="21"/>
  <c r="E129" i="21"/>
  <c r="E138" i="21"/>
  <c r="E148" i="21"/>
  <c r="E151" i="21"/>
  <c r="E70" i="21"/>
  <c r="W201" i="21"/>
  <c r="W204" i="21"/>
  <c r="E74" i="21"/>
  <c r="E106" i="21"/>
  <c r="E99" i="21"/>
  <c r="P86" i="21"/>
  <c r="E120" i="21"/>
  <c r="E196" i="21"/>
  <c r="E178" i="21"/>
  <c r="E165" i="21"/>
  <c r="E140" i="21"/>
  <c r="E172" i="21"/>
  <c r="E142" i="21"/>
  <c r="E201" i="21"/>
  <c r="E126" i="21"/>
  <c r="E79" i="21"/>
  <c r="E149" i="21"/>
  <c r="E133" i="21"/>
  <c r="E176" i="21"/>
  <c r="E84" i="21"/>
  <c r="E98" i="21"/>
  <c r="E136" i="21"/>
  <c r="E166" i="21"/>
  <c r="E203" i="21"/>
  <c r="E119" i="21"/>
  <c r="E78" i="21"/>
  <c r="E124" i="21"/>
  <c r="E199" i="21"/>
  <c r="E198" i="21"/>
  <c r="E76" i="21"/>
  <c r="E168" i="21"/>
  <c r="E123" i="21"/>
  <c r="E170" i="21"/>
  <c r="E80" i="21"/>
  <c r="E72" i="21"/>
  <c r="W86" i="21"/>
  <c r="W82" i="21"/>
  <c r="I76" i="21"/>
  <c r="I86" i="21"/>
  <c r="I111" i="21"/>
  <c r="P75" i="21"/>
  <c r="W75" i="21"/>
  <c r="W111" i="21"/>
  <c r="P76" i="21"/>
  <c r="E179" i="21"/>
  <c r="E121" i="21"/>
  <c r="E139" i="21"/>
  <c r="E75" i="21"/>
  <c r="E122" i="21"/>
  <c r="E195" i="21"/>
  <c r="P79" i="21"/>
  <c r="E182" i="21"/>
  <c r="E174" i="21"/>
  <c r="E169" i="21"/>
  <c r="E108" i="21"/>
  <c r="P201" i="21"/>
  <c r="I198" i="21"/>
  <c r="E81" i="21"/>
  <c r="E127" i="21"/>
  <c r="E90" i="21"/>
  <c r="E194" i="21"/>
  <c r="I201" i="21"/>
  <c r="E130" i="21"/>
  <c r="E175" i="21"/>
  <c r="W85" i="21"/>
  <c r="E111" i="21"/>
  <c r="E88" i="21"/>
  <c r="E132" i="21"/>
  <c r="E177" i="21"/>
  <c r="W198" i="21"/>
  <c r="P85" i="21"/>
  <c r="E125" i="21"/>
  <c r="E73" i="21"/>
  <c r="E91" i="21"/>
  <c r="E92" i="21"/>
  <c r="E181" i="21"/>
  <c r="I85" i="21"/>
  <c r="W79" i="21"/>
  <c r="W140" i="21"/>
  <c r="E164" i="21"/>
  <c r="E97" i="21"/>
  <c r="E87" i="21"/>
  <c r="E85" i="21"/>
  <c r="P198" i="21"/>
  <c r="E167" i="21"/>
  <c r="I140" i="21"/>
  <c r="E100" i="21"/>
  <c r="E101" i="21"/>
  <c r="E141" i="21"/>
  <c r="E112" i="21"/>
  <c r="I75" i="21"/>
  <c r="I82" i="21"/>
  <c r="E107" i="21"/>
  <c r="E197" i="21"/>
  <c r="E180" i="21"/>
  <c r="W76" i="21"/>
  <c r="P111" i="21"/>
  <c r="E82" i="21"/>
  <c r="E128" i="21"/>
  <c r="E171" i="21"/>
  <c r="E77" i="21"/>
  <c r="E110" i="21"/>
  <c r="E200" i="21"/>
  <c r="I79" i="21"/>
  <c r="E131" i="21"/>
  <c r="E173" i="21"/>
  <c r="E202" i="21"/>
  <c r="E135" i="21"/>
  <c r="E83" i="21"/>
  <c r="E113" i="21"/>
  <c r="E134" i="21"/>
  <c r="P82" i="21"/>
  <c r="P140" i="21"/>
  <c r="E150" i="21"/>
  <c r="W210" i="13"/>
  <c r="W213" i="13"/>
  <c r="W202" i="13"/>
  <c r="W203" i="13"/>
  <c r="C197" i="5"/>
  <c r="D197" i="21" s="1"/>
  <c r="C198" i="5"/>
  <c r="D198" i="21" s="1"/>
  <c r="Z10" i="13"/>
  <c r="AF257" i="5"/>
  <c r="AE257" i="5"/>
  <c r="AD257" i="5"/>
  <c r="E257" i="5"/>
  <c r="E256" i="5"/>
  <c r="AF256" i="5"/>
  <c r="AE256" i="5"/>
  <c r="AD256" i="5"/>
  <c r="AF253" i="5"/>
  <c r="AE253" i="5"/>
  <c r="AD253" i="5"/>
  <c r="E253" i="5"/>
  <c r="AF258" i="5"/>
  <c r="AE258" i="5"/>
  <c r="AD258" i="5"/>
  <c r="E258" i="5"/>
  <c r="AF251" i="5"/>
  <c r="AE251" i="5"/>
  <c r="AD251" i="5"/>
  <c r="E251" i="5"/>
  <c r="AF247" i="5"/>
  <c r="AE247" i="5"/>
  <c r="AD247" i="5"/>
  <c r="E247" i="5"/>
  <c r="E245" i="5"/>
  <c r="AF245" i="5"/>
  <c r="AE245" i="5"/>
  <c r="AD245" i="5"/>
  <c r="AF250" i="5"/>
  <c r="AE250" i="5"/>
  <c r="AD250" i="5"/>
  <c r="AF244" i="5"/>
  <c r="AE244" i="5"/>
  <c r="AD244" i="5"/>
  <c r="E244" i="5"/>
  <c r="AF235" i="5"/>
  <c r="AE235" i="5"/>
  <c r="AD235" i="5"/>
  <c r="E235" i="5"/>
  <c r="AF254" i="5"/>
  <c r="AE254" i="5"/>
  <c r="AD254" i="5"/>
  <c r="E254" i="5"/>
  <c r="C142" i="5" l="1"/>
  <c r="D140" i="21"/>
  <c r="C72" i="5"/>
  <c r="D71" i="21"/>
  <c r="C169" i="5"/>
  <c r="D168" i="21"/>
  <c r="C45" i="5"/>
  <c r="D44" i="21"/>
  <c r="C203" i="5"/>
  <c r="D201" i="21"/>
  <c r="C159" i="5"/>
  <c r="D159" i="21" s="1"/>
  <c r="D157" i="21"/>
  <c r="C100" i="5"/>
  <c r="D100" i="21" s="1"/>
  <c r="D99" i="21"/>
  <c r="C123" i="5"/>
  <c r="D121" i="21"/>
  <c r="L11" i="3"/>
  <c r="K9" i="13" s="1"/>
  <c r="L12" i="3"/>
  <c r="L9" i="13" s="1"/>
  <c r="L13" i="3"/>
  <c r="M9" i="13" s="1"/>
  <c r="L14" i="3"/>
  <c r="N9" i="13" s="1"/>
  <c r="L15" i="3"/>
  <c r="O9" i="13" s="1"/>
  <c r="L16" i="3"/>
  <c r="P9" i="13" s="1"/>
  <c r="L10" i="3"/>
  <c r="L8" i="3"/>
  <c r="L9" i="3"/>
  <c r="L7" i="3"/>
  <c r="L6" i="3"/>
  <c r="L5" i="3"/>
  <c r="C204" i="5" l="1"/>
  <c r="D203" i="21"/>
  <c r="C174" i="5"/>
  <c r="D169" i="21"/>
  <c r="C124" i="5"/>
  <c r="D123" i="21"/>
  <c r="C74" i="5"/>
  <c r="D72" i="21"/>
  <c r="C47" i="5"/>
  <c r="D45" i="21"/>
  <c r="C143" i="5"/>
  <c r="D142" i="21"/>
  <c r="J9" i="13"/>
  <c r="H21" i="3"/>
  <c r="V91" i="13"/>
  <c r="V92" i="13"/>
  <c r="U101" i="13"/>
  <c r="Q9" i="13"/>
  <c r="Q13" i="3"/>
  <c r="Y6" i="13" s="1"/>
  <c r="Y49" i="13" s="1"/>
  <c r="Q12" i="3"/>
  <c r="O38" i="13"/>
  <c r="O233" i="13"/>
  <c r="O199" i="13"/>
  <c r="O216" i="13"/>
  <c r="O154" i="13"/>
  <c r="O168" i="13"/>
  <c r="O125" i="13"/>
  <c r="O112" i="13"/>
  <c r="O99" i="13"/>
  <c r="O68" i="13"/>
  <c r="M38" i="13"/>
  <c r="M168" i="13"/>
  <c r="M99" i="13"/>
  <c r="M199" i="13"/>
  <c r="M154" i="13"/>
  <c r="M112" i="13"/>
  <c r="M216" i="13"/>
  <c r="M125" i="13"/>
  <c r="M68" i="13"/>
  <c r="M233" i="13"/>
  <c r="J168" i="13"/>
  <c r="J199" i="13"/>
  <c r="J112" i="13"/>
  <c r="J233" i="13"/>
  <c r="J99" i="13"/>
  <c r="J38" i="13"/>
  <c r="J125" i="13"/>
  <c r="J216" i="13"/>
  <c r="J154" i="13"/>
  <c r="J68" i="13"/>
  <c r="P38" i="13"/>
  <c r="P233" i="13"/>
  <c r="P199" i="13"/>
  <c r="P216" i="13"/>
  <c r="P154" i="13"/>
  <c r="P168" i="13"/>
  <c r="P125" i="13"/>
  <c r="P112" i="13"/>
  <c r="P99" i="13"/>
  <c r="P68" i="13"/>
  <c r="N154" i="13"/>
  <c r="N168" i="13"/>
  <c r="N112" i="13"/>
  <c r="N216" i="13"/>
  <c r="N99" i="13"/>
  <c r="N38" i="13"/>
  <c r="N199" i="13"/>
  <c r="N125" i="13"/>
  <c r="N68" i="13"/>
  <c r="N233" i="13"/>
  <c r="L233" i="13"/>
  <c r="L216" i="13"/>
  <c r="L112" i="13"/>
  <c r="L38" i="13"/>
  <c r="L168" i="13"/>
  <c r="L125" i="13"/>
  <c r="L68" i="13"/>
  <c r="L199" i="13"/>
  <c r="L99" i="13"/>
  <c r="L154" i="13"/>
  <c r="K233" i="13"/>
  <c r="K112" i="13"/>
  <c r="K154" i="13"/>
  <c r="K99" i="13"/>
  <c r="K199" i="13"/>
  <c r="K168" i="13"/>
  <c r="K38" i="13"/>
  <c r="K125" i="13"/>
  <c r="K216" i="13"/>
  <c r="K68" i="13"/>
  <c r="P257" i="13"/>
  <c r="O257" i="13"/>
  <c r="M257" i="13"/>
  <c r="L257" i="13"/>
  <c r="N257" i="13"/>
  <c r="K257" i="13"/>
  <c r="J257" i="13"/>
  <c r="C125" i="5" l="1"/>
  <c r="D124" i="21"/>
  <c r="C144" i="5"/>
  <c r="D144" i="21" s="1"/>
  <c r="D143" i="21"/>
  <c r="C48" i="5"/>
  <c r="D47" i="21"/>
  <c r="C75" i="5"/>
  <c r="D74" i="21"/>
  <c r="C175" i="5"/>
  <c r="D174" i="21"/>
  <c r="C206" i="5"/>
  <c r="D204" i="21"/>
  <c r="V90" i="13"/>
  <c r="Q68" i="13"/>
  <c r="Q38" i="13"/>
  <c r="Q125" i="13"/>
  <c r="Q233" i="13"/>
  <c r="Q216" i="13"/>
  <c r="Q199" i="13"/>
  <c r="Q168" i="13"/>
  <c r="Q154" i="13"/>
  <c r="Q112" i="13"/>
  <c r="Q99" i="13"/>
  <c r="Y5" i="13"/>
  <c r="BS343" i="13"/>
  <c r="J37" i="11" s="1"/>
  <c r="BS346" i="13"/>
  <c r="J40" i="11" s="1"/>
  <c r="BS342" i="13"/>
  <c r="J36" i="11" s="1"/>
  <c r="BS352" i="13"/>
  <c r="BS348" i="13"/>
  <c r="J42" i="11" s="1"/>
  <c r="BS349" i="13"/>
  <c r="J43" i="11" s="1"/>
  <c r="BS345" i="13"/>
  <c r="J39" i="11" s="1"/>
  <c r="BS350" i="13"/>
  <c r="J44" i="11" s="1"/>
  <c r="BS351" i="13"/>
  <c r="BS344" i="13"/>
  <c r="J38" i="11" s="1"/>
  <c r="BS347" i="13"/>
  <c r="J41" i="11" s="1"/>
  <c r="X225" i="13"/>
  <c r="X226" i="13"/>
  <c r="X227" i="13"/>
  <c r="X228" i="13"/>
  <c r="X229" i="13"/>
  <c r="X189" i="13"/>
  <c r="X192" i="13"/>
  <c r="X175" i="13"/>
  <c r="X138" i="13"/>
  <c r="X144" i="13"/>
  <c r="X148" i="13"/>
  <c r="X130" i="13"/>
  <c r="BW192" i="13"/>
  <c r="BW189" i="13"/>
  <c r="BW148" i="13"/>
  <c r="E219" i="13"/>
  <c r="E220" i="13"/>
  <c r="E221" i="13"/>
  <c r="E215" i="5" s="1"/>
  <c r="E222" i="13"/>
  <c r="E223" i="13"/>
  <c r="E224" i="13"/>
  <c r="E225" i="13"/>
  <c r="E226" i="13"/>
  <c r="C176" i="5" l="1"/>
  <c r="D175" i="21"/>
  <c r="C76" i="5"/>
  <c r="D75" i="21"/>
  <c r="C207" i="5"/>
  <c r="D207" i="21" s="1"/>
  <c r="D206" i="21"/>
  <c r="C49" i="5"/>
  <c r="D48" i="21"/>
  <c r="C127" i="5"/>
  <c r="D125" i="21"/>
  <c r="E217" i="5"/>
  <c r="E219" i="5"/>
  <c r="E218" i="5"/>
  <c r="E220" i="5"/>
  <c r="E221" i="21" s="1"/>
  <c r="E214" i="5"/>
  <c r="E216" i="5"/>
  <c r="E213" i="5"/>
  <c r="J46" i="11"/>
  <c r="O5" i="3"/>
  <c r="AB12" i="21"/>
  <c r="AB14" i="21"/>
  <c r="AB15" i="21"/>
  <c r="AB38" i="21"/>
  <c r="AB41" i="21"/>
  <c r="AB42" i="21"/>
  <c r="AB63" i="21"/>
  <c r="AB66" i="21"/>
  <c r="AB68" i="21"/>
  <c r="AB92" i="21"/>
  <c r="AB101" i="21"/>
  <c r="AB105" i="21"/>
  <c r="AB114" i="21"/>
  <c r="AB143" i="21"/>
  <c r="AB144" i="21"/>
  <c r="AB157" i="21"/>
  <c r="AB159" i="21"/>
  <c r="AB188" i="21"/>
  <c r="AB189" i="21"/>
  <c r="AB190" i="21"/>
  <c r="CE79" i="13"/>
  <c r="C128" i="5" l="1"/>
  <c r="D127" i="21"/>
  <c r="C50" i="5"/>
  <c r="D49" i="21"/>
  <c r="C78" i="5"/>
  <c r="D76" i="21"/>
  <c r="C178" i="5"/>
  <c r="D176" i="21"/>
  <c r="E217" i="21"/>
  <c r="E220" i="21"/>
  <c r="E215" i="21"/>
  <c r="E218" i="21"/>
  <c r="E216" i="21"/>
  <c r="E219" i="21"/>
  <c r="E214" i="21"/>
  <c r="CE39" i="13"/>
  <c r="CE211" i="13"/>
  <c r="CE208" i="13"/>
  <c r="CE204" i="13"/>
  <c r="CE200" i="13"/>
  <c r="CE138" i="13"/>
  <c r="CE115" i="13"/>
  <c r="CE117" i="13"/>
  <c r="CE95" i="13"/>
  <c r="CE93" i="13"/>
  <c r="CE83" i="13"/>
  <c r="CE75" i="13"/>
  <c r="CE55" i="13"/>
  <c r="CE51" i="13"/>
  <c r="CE46" i="13"/>
  <c r="CB117" i="13"/>
  <c r="CB75" i="13"/>
  <c r="CB46" i="13"/>
  <c r="CB39" i="13"/>
  <c r="BW218" i="13"/>
  <c r="BW219" i="13"/>
  <c r="BW220" i="13"/>
  <c r="BW221" i="13"/>
  <c r="BW222" i="13"/>
  <c r="BW223" i="13"/>
  <c r="BW224" i="13"/>
  <c r="BW225" i="13"/>
  <c r="BW204" i="13"/>
  <c r="BW207" i="13"/>
  <c r="BW208" i="13"/>
  <c r="BW211" i="13"/>
  <c r="BW171" i="13"/>
  <c r="BW179" i="13"/>
  <c r="BW183" i="13"/>
  <c r="BW187" i="13"/>
  <c r="BW159" i="13"/>
  <c r="BW160" i="13"/>
  <c r="BW164" i="13"/>
  <c r="BW134" i="13"/>
  <c r="BW138" i="13"/>
  <c r="BW144" i="13"/>
  <c r="BW115" i="13"/>
  <c r="BW117" i="13"/>
  <c r="BW121" i="13"/>
  <c r="BW103" i="13"/>
  <c r="BW106" i="13"/>
  <c r="BW107" i="13"/>
  <c r="BW108" i="13"/>
  <c r="BW109" i="13"/>
  <c r="BW155" i="13"/>
  <c r="BW169" i="13"/>
  <c r="BW200" i="13"/>
  <c r="BW217" i="13"/>
  <c r="BW126" i="13"/>
  <c r="BW113" i="13"/>
  <c r="BW100" i="13"/>
  <c r="BW75" i="13"/>
  <c r="BW79" i="13"/>
  <c r="BW82" i="13"/>
  <c r="BW83" i="13"/>
  <c r="BW86" i="13"/>
  <c r="BW90" i="13"/>
  <c r="BW93" i="13"/>
  <c r="BW95" i="13"/>
  <c r="BW96" i="13"/>
  <c r="BW69" i="13"/>
  <c r="BW59" i="13"/>
  <c r="BW62" i="13"/>
  <c r="BW63" i="13"/>
  <c r="BW65" i="13"/>
  <c r="BW56" i="13"/>
  <c r="BW55" i="13"/>
  <c r="BW51" i="13"/>
  <c r="BW46" i="13"/>
  <c r="BW39" i="13"/>
  <c r="BW16" i="13"/>
  <c r="BW19" i="13"/>
  <c r="BW26" i="13"/>
  <c r="BW30" i="13"/>
  <c r="BW10" i="13"/>
  <c r="C179" i="5" l="1"/>
  <c r="D178" i="21"/>
  <c r="C79" i="5"/>
  <c r="D78" i="21"/>
  <c r="C52" i="5"/>
  <c r="D50" i="21"/>
  <c r="C129" i="5"/>
  <c r="D128" i="21"/>
  <c r="AI194" i="5"/>
  <c r="AI199" i="5"/>
  <c r="AI202" i="5"/>
  <c r="AI205" i="5"/>
  <c r="AI130" i="5"/>
  <c r="AI109" i="5"/>
  <c r="AI107" i="5"/>
  <c r="AI90" i="5"/>
  <c r="AI80" i="5"/>
  <c r="AI77" i="5"/>
  <c r="AI73" i="5"/>
  <c r="AI51" i="5"/>
  <c r="AI46" i="5"/>
  <c r="AI38" i="5"/>
  <c r="E324" i="13"/>
  <c r="BX233" i="13"/>
  <c r="BX216" i="13"/>
  <c r="BX199" i="13"/>
  <c r="BX168" i="13"/>
  <c r="BX154" i="13"/>
  <c r="BX125" i="13"/>
  <c r="BX112" i="13"/>
  <c r="BX99" i="13"/>
  <c r="BX68" i="13"/>
  <c r="BX38" i="13"/>
  <c r="BX9" i="13"/>
  <c r="E292" i="13"/>
  <c r="E293" i="13"/>
  <c r="E294" i="13"/>
  <c r="E295" i="13"/>
  <c r="E296" i="13"/>
  <c r="E297" i="13"/>
  <c r="E298" i="13"/>
  <c r="E299" i="13"/>
  <c r="E300" i="13"/>
  <c r="E301" i="13"/>
  <c r="E302" i="13"/>
  <c r="E303" i="13"/>
  <c r="E304" i="13"/>
  <c r="E305" i="13"/>
  <c r="E306" i="13"/>
  <c r="E307" i="13"/>
  <c r="E308" i="13"/>
  <c r="E309" i="13"/>
  <c r="E310" i="13"/>
  <c r="E311" i="13"/>
  <c r="C131" i="5" l="1"/>
  <c r="D129" i="21"/>
  <c r="C53" i="5"/>
  <c r="D52" i="21"/>
  <c r="C81" i="5"/>
  <c r="D79" i="21"/>
  <c r="C180" i="5"/>
  <c r="D179" i="21"/>
  <c r="CA38" i="13"/>
  <c r="CA68" i="13"/>
  <c r="CA199" i="13"/>
  <c r="BZ68" i="13"/>
  <c r="BZ199" i="13"/>
  <c r="CC236" i="13"/>
  <c r="CC154" i="13"/>
  <c r="CC99" i="13"/>
  <c r="CA252" i="13"/>
  <c r="CA236" i="13"/>
  <c r="CC216" i="13"/>
  <c r="CA154" i="13"/>
  <c r="CC112" i="13"/>
  <c r="CA99" i="13"/>
  <c r="CC252" i="13"/>
  <c r="BZ252" i="13"/>
  <c r="BZ236" i="13"/>
  <c r="CC168" i="13"/>
  <c r="BZ154" i="13"/>
  <c r="BZ99" i="13"/>
  <c r="CC38" i="13"/>
  <c r="BZ125" i="13"/>
  <c r="CC237" i="13"/>
  <c r="CC233" i="13"/>
  <c r="CA216" i="13"/>
  <c r="CA112" i="13"/>
  <c r="BZ216" i="13"/>
  <c r="CC125" i="13"/>
  <c r="CC68" i="13"/>
  <c r="CA237" i="13"/>
  <c r="CA233" i="13"/>
  <c r="CC199" i="13"/>
  <c r="BZ168" i="13"/>
  <c r="BZ38" i="13"/>
  <c r="CA168" i="13"/>
  <c r="BZ112" i="13"/>
  <c r="BZ237" i="13"/>
  <c r="BZ233" i="13"/>
  <c r="CA125" i="13"/>
  <c r="AB221" i="21"/>
  <c r="AB219" i="21"/>
  <c r="AB209" i="21"/>
  <c r="AB178" i="21"/>
  <c r="AB177" i="21"/>
  <c r="AB160" i="21"/>
  <c r="AB146" i="21"/>
  <c r="AB140" i="21"/>
  <c r="AB139" i="21"/>
  <c r="AB100" i="21"/>
  <c r="AB98" i="21"/>
  <c r="AB96" i="21"/>
  <c r="AB13" i="21"/>
  <c r="C182" i="5" l="1"/>
  <c r="D180" i="21"/>
  <c r="C82" i="5"/>
  <c r="D81" i="21"/>
  <c r="C54" i="5"/>
  <c r="D53" i="21"/>
  <c r="C132" i="5"/>
  <c r="D131" i="21"/>
  <c r="AK5" i="5"/>
  <c r="AK4" i="5"/>
  <c r="AK3" i="5"/>
  <c r="C133" i="5" l="1"/>
  <c r="D132" i="21"/>
  <c r="C56" i="5"/>
  <c r="D54" i="21"/>
  <c r="C84" i="5"/>
  <c r="D82" i="21"/>
  <c r="C184" i="5"/>
  <c r="D182" i="21"/>
  <c r="AJ4" i="5"/>
  <c r="AS11" i="5" s="1"/>
  <c r="Z1" i="5"/>
  <c r="P2" i="12"/>
  <c r="P2" i="8"/>
  <c r="Z1" i="21"/>
  <c r="N2" i="11"/>
  <c r="C185" i="5" l="1"/>
  <c r="D184" i="21"/>
  <c r="C86" i="5"/>
  <c r="D84" i="21"/>
  <c r="C57" i="5"/>
  <c r="D56" i="21"/>
  <c r="C134" i="5"/>
  <c r="D133" i="21"/>
  <c r="AU256" i="5"/>
  <c r="AT253" i="5"/>
  <c r="AS258" i="5"/>
  <c r="AU257" i="5"/>
  <c r="AT256" i="5"/>
  <c r="AS253" i="5"/>
  <c r="AU258" i="5"/>
  <c r="AT257" i="5"/>
  <c r="AS256" i="5"/>
  <c r="AS257" i="5"/>
  <c r="AU253" i="5"/>
  <c r="AT258" i="5"/>
  <c r="AU245" i="5"/>
  <c r="AT245" i="5"/>
  <c r="AS245" i="5"/>
  <c r="AU235" i="5"/>
  <c r="AS235" i="5"/>
  <c r="AT235" i="5"/>
  <c r="AB9" i="21"/>
  <c r="AU254" i="5"/>
  <c r="AT254" i="5"/>
  <c r="AS254" i="5"/>
  <c r="AB7" i="21"/>
  <c r="AB9" i="5"/>
  <c r="AS27" i="5"/>
  <c r="AB4" i="21"/>
  <c r="AB5" i="21"/>
  <c r="AU35" i="5"/>
  <c r="AU27" i="5"/>
  <c r="AU58" i="5"/>
  <c r="AU61" i="5"/>
  <c r="AS163" i="5"/>
  <c r="AT210" i="5"/>
  <c r="AU216" i="5"/>
  <c r="AS194" i="5"/>
  <c r="AU118" i="5"/>
  <c r="AS215" i="5"/>
  <c r="AT103" i="5"/>
  <c r="AS199" i="5"/>
  <c r="AT92" i="5"/>
  <c r="AT65" i="5"/>
  <c r="AT58" i="5"/>
  <c r="AT51" i="5"/>
  <c r="AT80" i="5"/>
  <c r="AT213" i="5"/>
  <c r="AU255" i="5"/>
  <c r="AS202" i="5"/>
  <c r="AU64" i="5"/>
  <c r="AU166" i="5"/>
  <c r="AT148" i="5"/>
  <c r="AU177" i="5"/>
  <c r="AS83" i="5"/>
  <c r="AT17" i="5"/>
  <c r="AU20" i="5"/>
  <c r="AS35" i="5"/>
  <c r="AU17" i="5"/>
  <c r="AS17" i="5"/>
  <c r="AU160" i="5"/>
  <c r="AS65" i="5"/>
  <c r="AS117" i="5"/>
  <c r="AS208" i="5"/>
  <c r="AT193" i="5"/>
  <c r="AU191" i="5"/>
  <c r="AS90" i="5"/>
  <c r="AS147" i="5"/>
  <c r="AS216" i="5"/>
  <c r="AT104" i="5"/>
  <c r="AT215" i="5"/>
  <c r="AS162" i="5"/>
  <c r="AU103" i="5"/>
  <c r="AT66" i="5"/>
  <c r="AS205" i="5"/>
  <c r="AU145" i="5"/>
  <c r="AT95" i="5"/>
  <c r="AT217" i="5"/>
  <c r="AS166" i="5"/>
  <c r="AU107" i="5"/>
  <c r="AT77" i="5"/>
  <c r="AT202" i="5"/>
  <c r="AS145" i="5"/>
  <c r="AU94" i="5"/>
  <c r="AV194" i="5"/>
  <c r="AT36" i="5"/>
  <c r="AU11" i="5"/>
  <c r="AU113" i="5"/>
  <c r="AU36" i="5"/>
  <c r="AS36" i="5"/>
  <c r="AU208" i="5"/>
  <c r="AS107" i="5"/>
  <c r="AT64" i="5"/>
  <c r="AU161" i="5"/>
  <c r="AS66" i="5"/>
  <c r="AU126" i="5"/>
  <c r="AT214" i="5"/>
  <c r="AU102" i="5"/>
  <c r="AT61" i="5"/>
  <c r="AS177" i="5"/>
  <c r="AT130" i="5"/>
  <c r="AT93" i="5"/>
  <c r="AT160" i="5"/>
  <c r="AU116" i="5"/>
  <c r="AT109" i="5"/>
  <c r="AU209" i="5"/>
  <c r="AS225" i="5"/>
  <c r="AT115" i="5"/>
  <c r="AS209" i="5"/>
  <c r="AU147" i="5"/>
  <c r="AT27" i="5"/>
  <c r="AT11" i="5"/>
  <c r="AT35" i="5"/>
  <c r="AU31" i="5"/>
  <c r="AS55" i="5"/>
  <c r="AT147" i="5"/>
  <c r="AT216" i="5"/>
  <c r="AU104" i="5"/>
  <c r="AU193" i="5"/>
  <c r="AU181" i="5"/>
  <c r="AT116" i="5"/>
  <c r="AS87" i="5"/>
  <c r="AT163" i="5"/>
  <c r="AU210" i="5"/>
  <c r="AU101" i="5"/>
  <c r="AU212" i="5"/>
  <c r="AT158" i="5"/>
  <c r="AS101" i="5"/>
  <c r="AU63" i="5"/>
  <c r="AT199" i="5"/>
  <c r="AS255" i="5"/>
  <c r="AU92" i="5"/>
  <c r="AU214" i="5"/>
  <c r="AT161" i="5"/>
  <c r="AS103" i="5"/>
  <c r="AU65" i="5"/>
  <c r="AU194" i="5"/>
  <c r="AT126" i="5"/>
  <c r="AS92" i="5"/>
  <c r="AV109" i="5"/>
  <c r="AS193" i="5"/>
  <c r="AS161" i="5"/>
  <c r="AT20" i="5"/>
  <c r="AT37" i="5"/>
  <c r="AT98" i="5"/>
  <c r="AT94" i="5"/>
  <c r="AS218" i="5"/>
  <c r="AU51" i="5"/>
  <c r="AS37" i="5"/>
  <c r="AU55" i="5"/>
  <c r="AS31" i="5"/>
  <c r="AS58" i="5"/>
  <c r="AT55" i="5"/>
  <c r="AS126" i="5"/>
  <c r="AS211" i="5"/>
  <c r="AT173" i="5"/>
  <c r="AT218" i="5"/>
  <c r="AS173" i="5"/>
  <c r="AU109" i="5"/>
  <c r="AS154" i="5"/>
  <c r="AS219" i="5"/>
  <c r="AT113" i="5"/>
  <c r="AS210" i="5"/>
  <c r="AU148" i="5"/>
  <c r="AT219" i="5"/>
  <c r="AU192" i="5"/>
  <c r="AT118" i="5"/>
  <c r="AS212" i="5"/>
  <c r="AU154" i="5"/>
  <c r="AS63" i="5"/>
  <c r="AS192" i="5"/>
  <c r="AU117" i="5"/>
  <c r="AT90" i="5"/>
  <c r="AW46" i="5"/>
  <c r="AT46" i="5"/>
  <c r="AS94" i="5"/>
  <c r="AS160" i="5"/>
  <c r="AU215" i="5"/>
  <c r="AT162" i="5"/>
  <c r="AS104" i="5"/>
  <c r="AU66" i="5"/>
  <c r="AU130" i="5"/>
  <c r="AU213" i="5"/>
  <c r="AS102" i="5"/>
  <c r="AS191" i="5"/>
  <c r="AU93" i="5"/>
  <c r="AT205" i="5"/>
  <c r="AS146" i="5"/>
  <c r="AU95" i="5"/>
  <c r="AT225" i="5"/>
  <c r="AS181" i="5"/>
  <c r="AU115" i="5"/>
  <c r="AT83" i="5"/>
  <c r="AT209" i="5"/>
  <c r="AS148" i="5"/>
  <c r="AU219" i="5"/>
  <c r="AT177" i="5"/>
  <c r="AS115" i="5"/>
  <c r="AU80" i="5"/>
  <c r="AV46" i="5"/>
  <c r="AS61" i="5"/>
  <c r="AS20" i="5"/>
  <c r="AU46" i="5"/>
  <c r="AS214" i="5"/>
  <c r="AT102" i="5"/>
  <c r="AT191" i="5"/>
  <c r="AU87" i="5"/>
  <c r="AU146" i="5"/>
  <c r="AS213" i="5"/>
  <c r="AU158" i="5"/>
  <c r="AT101" i="5"/>
  <c r="AS64" i="5"/>
  <c r="AT117" i="5"/>
  <c r="AT208" i="5"/>
  <c r="AU98" i="5"/>
  <c r="AU162" i="5"/>
  <c r="AT87" i="5"/>
  <c r="AU199" i="5"/>
  <c r="AT255" i="5"/>
  <c r="AS93" i="5"/>
  <c r="AU217" i="5"/>
  <c r="AT166" i="5"/>
  <c r="AS109" i="5"/>
  <c r="AU77" i="5"/>
  <c r="AU202" i="5"/>
  <c r="AT145" i="5"/>
  <c r="AS95" i="5"/>
  <c r="AS217" i="5"/>
  <c r="AU163" i="5"/>
  <c r="AT107" i="5"/>
  <c r="AS77" i="5"/>
  <c r="AS46" i="5"/>
  <c r="AS51" i="5"/>
  <c r="AU37" i="5"/>
  <c r="AT31" i="5"/>
  <c r="AT194" i="5"/>
  <c r="AU218" i="5"/>
  <c r="AS113" i="5"/>
  <c r="AU205" i="5"/>
  <c r="AT146" i="5"/>
  <c r="AS98" i="5"/>
  <c r="AT211" i="5"/>
  <c r="AU173" i="5"/>
  <c r="AS80" i="5"/>
  <c r="AS130" i="5"/>
  <c r="AU225" i="5"/>
  <c r="AT181" i="5"/>
  <c r="AS116" i="5"/>
  <c r="AU83" i="5"/>
  <c r="AT212" i="5"/>
  <c r="AS158" i="5"/>
  <c r="AT63" i="5"/>
  <c r="AT192" i="5"/>
  <c r="AS118" i="5"/>
  <c r="AU90" i="5"/>
  <c r="AU211" i="5"/>
  <c r="AT154" i="5"/>
  <c r="BX5" i="13"/>
  <c r="H9" i="13"/>
  <c r="G9" i="13"/>
  <c r="F9" i="13"/>
  <c r="AC5" i="13"/>
  <c r="I9" i="13"/>
  <c r="E6" i="13"/>
  <c r="E255" i="5"/>
  <c r="N6" i="11"/>
  <c r="E54" i="3"/>
  <c r="D3" i="12"/>
  <c r="O93" i="16"/>
  <c r="O94" i="16"/>
  <c r="O95" i="16"/>
  <c r="O96" i="16"/>
  <c r="O97" i="16"/>
  <c r="I27" i="16"/>
  <c r="I41" i="16"/>
  <c r="I57" i="16"/>
  <c r="I66" i="16"/>
  <c r="I73" i="16"/>
  <c r="I84" i="16"/>
  <c r="I92" i="16"/>
  <c r="I15" i="16"/>
  <c r="F2" i="3"/>
  <c r="B17" i="3"/>
  <c r="I16" i="16"/>
  <c r="I28" i="16"/>
  <c r="I42" i="16"/>
  <c r="I50" i="16"/>
  <c r="I51" i="16"/>
  <c r="I58" i="16"/>
  <c r="I67" i="16"/>
  <c r="I74" i="16"/>
  <c r="I85" i="16"/>
  <c r="I93"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60" i="16"/>
  <c r="O61" i="16"/>
  <c r="O63" i="16"/>
  <c r="O64" i="16"/>
  <c r="O65" i="16"/>
  <c r="O66" i="16"/>
  <c r="O67" i="16"/>
  <c r="O68" i="16"/>
  <c r="O69" i="16"/>
  <c r="O70" i="16"/>
  <c r="O71" i="16"/>
  <c r="O72" i="16"/>
  <c r="O73" i="16"/>
  <c r="O74" i="16"/>
  <c r="O75" i="16"/>
  <c r="O77" i="16"/>
  <c r="O78" i="16"/>
  <c r="O79" i="16"/>
  <c r="O82" i="16"/>
  <c r="O83" i="16"/>
  <c r="O84" i="16"/>
  <c r="O85" i="16"/>
  <c r="O86" i="16"/>
  <c r="O87" i="16"/>
  <c r="O88" i="16"/>
  <c r="O89" i="16"/>
  <c r="O90" i="16"/>
  <c r="O91" i="16"/>
  <c r="O92" i="16"/>
  <c r="O6" i="16"/>
  <c r="L11" i="21"/>
  <c r="K37" i="21"/>
  <c r="L37" i="21"/>
  <c r="N37" i="21"/>
  <c r="Q37" i="21"/>
  <c r="R37" i="21"/>
  <c r="S37" i="21"/>
  <c r="U37" i="21"/>
  <c r="X37" i="21"/>
  <c r="Y37" i="21"/>
  <c r="L65" i="21"/>
  <c r="N65" i="21"/>
  <c r="U65" i="21"/>
  <c r="O8" i="3"/>
  <c r="O9" i="3"/>
  <c r="O10" i="3"/>
  <c r="O11" i="3"/>
  <c r="O12" i="3"/>
  <c r="O13" i="3"/>
  <c r="O6" i="3"/>
  <c r="O7" i="3"/>
  <c r="U4" i="5"/>
  <c r="N4" i="5"/>
  <c r="B40" i="3"/>
  <c r="AX268" i="13"/>
  <c r="AC23" i="11"/>
  <c r="AC24" i="11"/>
  <c r="AC25" i="11"/>
  <c r="AC26" i="11"/>
  <c r="AC27" i="11"/>
  <c r="AC28" i="11"/>
  <c r="AC29" i="11"/>
  <c r="AC30" i="11"/>
  <c r="AC31" i="11"/>
  <c r="AC32" i="11"/>
  <c r="AF22" i="11"/>
  <c r="AE36" i="11" s="1"/>
  <c r="AE22" i="11"/>
  <c r="AD36" i="11" s="1"/>
  <c r="AD22" i="11"/>
  <c r="AC36" i="11" s="1"/>
  <c r="AB37" i="11"/>
  <c r="AB36" i="11"/>
  <c r="D6" i="11"/>
  <c r="C3" i="12"/>
  <c r="E6" i="5"/>
  <c r="E6" i="21" s="1"/>
  <c r="M6" i="11"/>
  <c r="AC64" i="5"/>
  <c r="AC65" i="5"/>
  <c r="AC93" i="5"/>
  <c r="AC94" i="5"/>
  <c r="AC102" i="5"/>
  <c r="AC103" i="5"/>
  <c r="AC116" i="5"/>
  <c r="AC117" i="5"/>
  <c r="AC146" i="5"/>
  <c r="AC147" i="5"/>
  <c r="AC161" i="5"/>
  <c r="AC162" i="5"/>
  <c r="AC192" i="5"/>
  <c r="AC193" i="5"/>
  <c r="AC209" i="5"/>
  <c r="AC210" i="5"/>
  <c r="AC10" i="5"/>
  <c r="AD255" i="5"/>
  <c r="AE255" i="5"/>
  <c r="AF255" i="5"/>
  <c r="AF11" i="5"/>
  <c r="AE11" i="5"/>
  <c r="AD11" i="5"/>
  <c r="X59" i="13"/>
  <c r="X63" i="13"/>
  <c r="X69" i="13"/>
  <c r="X75" i="13"/>
  <c r="X79" i="13"/>
  <c r="X83" i="13"/>
  <c r="X86" i="13"/>
  <c r="X93" i="13"/>
  <c r="X100" i="13"/>
  <c r="X103" i="13"/>
  <c r="X113" i="13"/>
  <c r="X115" i="13"/>
  <c r="X117" i="13"/>
  <c r="X121" i="13"/>
  <c r="X126" i="13"/>
  <c r="X134" i="13"/>
  <c r="X155" i="13"/>
  <c r="X160" i="13"/>
  <c r="X164" i="13"/>
  <c r="X169" i="13"/>
  <c r="X171" i="13"/>
  <c r="X179" i="13"/>
  <c r="X183" i="13"/>
  <c r="X187" i="13"/>
  <c r="X200" i="13"/>
  <c r="X204" i="13"/>
  <c r="X208" i="13"/>
  <c r="X211" i="13"/>
  <c r="X217" i="13"/>
  <c r="X218" i="13"/>
  <c r="X219" i="13"/>
  <c r="X220" i="13"/>
  <c r="X221" i="13"/>
  <c r="X222" i="13"/>
  <c r="X223" i="13"/>
  <c r="X224" i="13"/>
  <c r="X16" i="13"/>
  <c r="X19" i="13"/>
  <c r="X26" i="13"/>
  <c r="X30" i="13"/>
  <c r="X34" i="13"/>
  <c r="X35" i="13"/>
  <c r="X39" i="13"/>
  <c r="X46" i="13"/>
  <c r="X51" i="13"/>
  <c r="X56" i="13"/>
  <c r="X10" i="13"/>
  <c r="E212" i="5"/>
  <c r="E213" i="21" s="1"/>
  <c r="E217" i="13"/>
  <c r="V308" i="11"/>
  <c r="V305" i="11"/>
  <c r="V304" i="11"/>
  <c r="V303" i="11"/>
  <c r="V302" i="11"/>
  <c r="V301" i="11"/>
  <c r="V306" i="11"/>
  <c r="T308" i="11"/>
  <c r="T307" i="11"/>
  <c r="T306" i="11"/>
  <c r="T305" i="11"/>
  <c r="T304" i="11"/>
  <c r="T303" i="11"/>
  <c r="T302" i="11"/>
  <c r="T301" i="11"/>
  <c r="T300" i="11"/>
  <c r="T299" i="11"/>
  <c r="V299" i="11"/>
  <c r="V307" i="11"/>
  <c r="V300" i="11"/>
  <c r="C54" i="3"/>
  <c r="E5" i="5"/>
  <c r="E5" i="21" s="1"/>
  <c r="BA235" i="13" l="1"/>
  <c r="BC235" i="13"/>
  <c r="BB235" i="13"/>
  <c r="AY235" i="13"/>
  <c r="T235" i="13"/>
  <c r="AB235" i="13" s="1"/>
  <c r="AZ235" i="13"/>
  <c r="D134" i="21"/>
  <c r="C135" i="5"/>
  <c r="D135" i="21" s="1"/>
  <c r="C59" i="5"/>
  <c r="D57" i="21"/>
  <c r="C88" i="5"/>
  <c r="D86" i="21"/>
  <c r="C187" i="5"/>
  <c r="D185" i="21"/>
  <c r="BC250" i="13"/>
  <c r="AZ250" i="13"/>
  <c r="AY250" i="13"/>
  <c r="BB250" i="13"/>
  <c r="BA250" i="13"/>
  <c r="T250" i="13"/>
  <c r="T253" i="13"/>
  <c r="AB253" i="13" s="1"/>
  <c r="T254" i="13"/>
  <c r="T255" i="13"/>
  <c r="AB255" i="13" s="1"/>
  <c r="BC72" i="13"/>
  <c r="BB72" i="13"/>
  <c r="E211" i="5"/>
  <c r="T251" i="13"/>
  <c r="AB251" i="13" s="1"/>
  <c r="BC252" i="13"/>
  <c r="BB252" i="13"/>
  <c r="BA252" i="13"/>
  <c r="AZ251" i="13"/>
  <c r="AZ252" i="13"/>
  <c r="AY252" i="13"/>
  <c r="BC251" i="13"/>
  <c r="BB251" i="13"/>
  <c r="BA251" i="13"/>
  <c r="AY251" i="13"/>
  <c r="T40" i="13"/>
  <c r="AA40" i="13" s="1"/>
  <c r="T195" i="13"/>
  <c r="AA195" i="13" s="1"/>
  <c r="BC234" i="13"/>
  <c r="BA234" i="13"/>
  <c r="BB234" i="13"/>
  <c r="AZ234" i="13"/>
  <c r="AY234" i="13"/>
  <c r="BB12" i="13"/>
  <c r="BC12" i="13"/>
  <c r="BB11" i="13"/>
  <c r="BC11" i="13"/>
  <c r="T88" i="13"/>
  <c r="AA88" i="13" s="1"/>
  <c r="BC246" i="13"/>
  <c r="BB246" i="13"/>
  <c r="BA246" i="13"/>
  <c r="AY246" i="13"/>
  <c r="T246" i="13"/>
  <c r="AB246" i="13" s="1"/>
  <c r="AZ246" i="13"/>
  <c r="BC23" i="13"/>
  <c r="BA23" i="13"/>
  <c r="BB23" i="13"/>
  <c r="T23" i="13"/>
  <c r="AA23" i="13" s="1"/>
  <c r="T24" i="13"/>
  <c r="AA24" i="13" s="1"/>
  <c r="BC249" i="13"/>
  <c r="BB249" i="13"/>
  <c r="BA249" i="13"/>
  <c r="AZ249" i="13"/>
  <c r="AY249" i="13"/>
  <c r="T249" i="13"/>
  <c r="AB249" i="13" s="1"/>
  <c r="T143" i="13"/>
  <c r="AA143" i="13" s="1"/>
  <c r="BC27" i="13"/>
  <c r="BB22" i="13"/>
  <c r="BC25" i="13"/>
  <c r="BB27" i="13"/>
  <c r="BB25" i="13"/>
  <c r="BC22" i="13"/>
  <c r="AY27" i="13"/>
  <c r="BA27" i="13"/>
  <c r="AZ27" i="13"/>
  <c r="BB73" i="13"/>
  <c r="BA29" i="13"/>
  <c r="BC29" i="13"/>
  <c r="BB29" i="13"/>
  <c r="BA22" i="13"/>
  <c r="AZ22" i="13"/>
  <c r="BC73" i="13"/>
  <c r="AY22" i="13"/>
  <c r="T158" i="13"/>
  <c r="AA158" i="13" s="1"/>
  <c r="T185" i="13"/>
  <c r="AA185" i="13" s="1"/>
  <c r="T173" i="13"/>
  <c r="AA173" i="13" s="1"/>
  <c r="T150" i="13"/>
  <c r="AA150" i="13" s="1"/>
  <c r="T137" i="13"/>
  <c r="AA137" i="13" s="1"/>
  <c r="T120" i="13"/>
  <c r="AA120" i="13" s="1"/>
  <c r="T92" i="13"/>
  <c r="T78" i="13"/>
  <c r="T60" i="13"/>
  <c r="T47" i="13"/>
  <c r="AA47" i="13" s="1"/>
  <c r="T230" i="13"/>
  <c r="AA230" i="13" s="1"/>
  <c r="T77" i="13"/>
  <c r="T46" i="13"/>
  <c r="T213" i="13"/>
  <c r="V213" i="13" s="1"/>
  <c r="T212" i="13"/>
  <c r="T196" i="13"/>
  <c r="AA196" i="13" s="1"/>
  <c r="T183" i="13"/>
  <c r="AA183" i="13" s="1"/>
  <c r="T148" i="13"/>
  <c r="AA148" i="13" s="1"/>
  <c r="T135" i="13"/>
  <c r="AA135" i="13" s="1"/>
  <c r="T118" i="13"/>
  <c r="AA118" i="13" s="1"/>
  <c r="T90" i="13"/>
  <c r="T76" i="13"/>
  <c r="T58" i="13"/>
  <c r="T45" i="13"/>
  <c r="AA45" i="13" s="1"/>
  <c r="T181" i="13"/>
  <c r="AA181" i="13" s="1"/>
  <c r="T146" i="13"/>
  <c r="AA146" i="13" s="1"/>
  <c r="T133" i="13"/>
  <c r="AA133" i="13" s="1"/>
  <c r="T87" i="13"/>
  <c r="AA87" i="13" s="1"/>
  <c r="T56" i="13"/>
  <c r="AA56" i="13" s="1"/>
  <c r="T211" i="13"/>
  <c r="U211" i="13" s="1"/>
  <c r="T194" i="13"/>
  <c r="AA194" i="13" s="1"/>
  <c r="T182" i="13"/>
  <c r="AA182" i="13" s="1"/>
  <c r="T165" i="13"/>
  <c r="Y165" i="13" s="1"/>
  <c r="T147" i="13"/>
  <c r="AA147" i="13" s="1"/>
  <c r="T134" i="13"/>
  <c r="AA134" i="13" s="1"/>
  <c r="T117" i="13"/>
  <c r="AA117" i="13" s="1"/>
  <c r="T89" i="13"/>
  <c r="T74" i="13"/>
  <c r="T57" i="13"/>
  <c r="AA57" i="13" s="1"/>
  <c r="T44" i="13"/>
  <c r="AA44" i="13" s="1"/>
  <c r="T193" i="13"/>
  <c r="AA193" i="13" s="1"/>
  <c r="T164" i="13"/>
  <c r="T116" i="13"/>
  <c r="AA116" i="13" s="1"/>
  <c r="T73" i="13"/>
  <c r="AA73" i="13" s="1"/>
  <c r="T43" i="13"/>
  <c r="AA43" i="13" s="1"/>
  <c r="T210" i="13"/>
  <c r="T209" i="13"/>
  <c r="U209" i="13" s="1"/>
  <c r="AA209" i="13" s="1"/>
  <c r="T192" i="13"/>
  <c r="AA192" i="13" s="1"/>
  <c r="T180" i="13"/>
  <c r="AA180" i="13" s="1"/>
  <c r="T163" i="13"/>
  <c r="AA163" i="13" s="1"/>
  <c r="T145" i="13"/>
  <c r="T132" i="13"/>
  <c r="AA132" i="13" s="1"/>
  <c r="T86" i="13"/>
  <c r="T72" i="13"/>
  <c r="AA72" i="13" s="1"/>
  <c r="T54" i="13"/>
  <c r="U54" i="13" s="1"/>
  <c r="T42" i="13"/>
  <c r="T91" i="13"/>
  <c r="T208" i="13"/>
  <c r="AA208" i="13" s="1"/>
  <c r="T191" i="13"/>
  <c r="AA191" i="13" s="1"/>
  <c r="T179" i="13"/>
  <c r="AA179" i="13" s="1"/>
  <c r="T162" i="13"/>
  <c r="AA162" i="13" s="1"/>
  <c r="T144" i="13"/>
  <c r="T131" i="13"/>
  <c r="AA131" i="13" s="1"/>
  <c r="T105" i="13"/>
  <c r="AA105" i="13" s="1"/>
  <c r="T85" i="13"/>
  <c r="T71" i="13"/>
  <c r="AA71" i="13" s="1"/>
  <c r="T53" i="13"/>
  <c r="U53" i="13" s="1"/>
  <c r="T136" i="13"/>
  <c r="AA136" i="13" s="1"/>
  <c r="T206" i="13"/>
  <c r="U206" i="13" s="1"/>
  <c r="T190" i="13"/>
  <c r="AA190" i="13" s="1"/>
  <c r="T178" i="13"/>
  <c r="AA178" i="13" s="1"/>
  <c r="T161" i="13"/>
  <c r="AA161" i="13" s="1"/>
  <c r="T142" i="13"/>
  <c r="AA142" i="13" s="1"/>
  <c r="T129" i="13"/>
  <c r="AA129" i="13" s="1"/>
  <c r="T104" i="13"/>
  <c r="AA104" i="13" s="1"/>
  <c r="T84" i="13"/>
  <c r="T52" i="13"/>
  <c r="U52" i="13" s="1"/>
  <c r="T119" i="13"/>
  <c r="T59" i="13"/>
  <c r="AA59" i="13" s="1"/>
  <c r="T205" i="13"/>
  <c r="U205" i="13" s="1"/>
  <c r="T189" i="13"/>
  <c r="AA189" i="13" s="1"/>
  <c r="T177" i="13"/>
  <c r="AA177" i="13" s="1"/>
  <c r="T160" i="13"/>
  <c r="AA160" i="13" s="1"/>
  <c r="T141" i="13"/>
  <c r="AA141" i="13" s="1"/>
  <c r="T128" i="13"/>
  <c r="AA128" i="13" s="1"/>
  <c r="T102" i="13"/>
  <c r="AA102" i="13" s="1"/>
  <c r="T83" i="13"/>
  <c r="AA83" i="13" s="1"/>
  <c r="T75" i="13"/>
  <c r="T51" i="13"/>
  <c r="T149" i="13"/>
  <c r="AA149" i="13" s="1"/>
  <c r="T203" i="13"/>
  <c r="T188" i="13"/>
  <c r="AA188" i="13" s="1"/>
  <c r="T176" i="13"/>
  <c r="AA176" i="13" s="1"/>
  <c r="T157" i="13"/>
  <c r="AA157" i="13" s="1"/>
  <c r="T140" i="13"/>
  <c r="AA140" i="13" s="1"/>
  <c r="T81" i="13"/>
  <c r="T64" i="13"/>
  <c r="AA64" i="13" s="1"/>
  <c r="T50" i="13"/>
  <c r="U50" i="13" s="1"/>
  <c r="T172" i="13"/>
  <c r="AA172" i="13" s="1"/>
  <c r="T202" i="13"/>
  <c r="T187" i="13"/>
  <c r="AA187" i="13" s="1"/>
  <c r="T175" i="13"/>
  <c r="AA175" i="13" s="1"/>
  <c r="T139" i="13"/>
  <c r="AA139" i="13" s="1"/>
  <c r="T122" i="13"/>
  <c r="AA122" i="13" s="1"/>
  <c r="T94" i="13"/>
  <c r="T80" i="13"/>
  <c r="T63" i="13"/>
  <c r="AA63" i="13" s="1"/>
  <c r="T49" i="13"/>
  <c r="U49" i="13" s="1"/>
  <c r="T184" i="13"/>
  <c r="AA184" i="13" s="1"/>
  <c r="T186" i="13"/>
  <c r="AA186" i="13" s="1"/>
  <c r="T174" i="13"/>
  <c r="AA174" i="13" s="1"/>
  <c r="T151" i="13"/>
  <c r="AA151" i="13" s="1"/>
  <c r="T138" i="13"/>
  <c r="AA138" i="13" s="1"/>
  <c r="T121" i="13"/>
  <c r="AA121" i="13" s="1"/>
  <c r="T93" i="13"/>
  <c r="AA93" i="13" s="1"/>
  <c r="T79" i="13"/>
  <c r="AA79" i="13" s="1"/>
  <c r="T61" i="13"/>
  <c r="T48" i="13"/>
  <c r="T204" i="13"/>
  <c r="BC230" i="13"/>
  <c r="T13" i="13"/>
  <c r="AA13" i="13" s="1"/>
  <c r="T27" i="13"/>
  <c r="AA27" i="13" s="1"/>
  <c r="T14" i="13"/>
  <c r="AA14" i="13" s="1"/>
  <c r="T28" i="13"/>
  <c r="T15" i="13"/>
  <c r="AA15" i="13" s="1"/>
  <c r="T29" i="13"/>
  <c r="AA29" i="13" s="1"/>
  <c r="T16" i="13"/>
  <c r="AA16" i="13" s="1"/>
  <c r="T30" i="13"/>
  <c r="AA30" i="13" s="1"/>
  <c r="T26" i="13"/>
  <c r="AA26" i="13" s="1"/>
  <c r="T17" i="13"/>
  <c r="AA17" i="13" s="1"/>
  <c r="T31" i="13"/>
  <c r="T18" i="13"/>
  <c r="AA18" i="13" s="1"/>
  <c r="T32" i="13"/>
  <c r="T22" i="13"/>
  <c r="AA22" i="13" s="1"/>
  <c r="T19" i="13"/>
  <c r="AA19" i="13" s="1"/>
  <c r="T33" i="13"/>
  <c r="T12" i="13"/>
  <c r="AA12" i="13" s="1"/>
  <c r="T20" i="13"/>
  <c r="AA20" i="13" s="1"/>
  <c r="T34" i="13"/>
  <c r="AA34" i="13" s="1"/>
  <c r="T21" i="13"/>
  <c r="AA21" i="13" s="1"/>
  <c r="T35" i="13"/>
  <c r="AA35" i="13" s="1"/>
  <c r="T11" i="13"/>
  <c r="AA11" i="13" s="1"/>
  <c r="T25" i="13"/>
  <c r="AA25" i="13" s="1"/>
  <c r="BQ297" i="13"/>
  <c r="AB40" i="11" s="1"/>
  <c r="BC241" i="13"/>
  <c r="BB241" i="13"/>
  <c r="BA241" i="13"/>
  <c r="AY241" i="13"/>
  <c r="AZ241" i="13"/>
  <c r="AY242" i="13"/>
  <c r="BC242" i="13"/>
  <c r="BB242" i="13"/>
  <c r="BA242" i="13"/>
  <c r="AZ242" i="13"/>
  <c r="T233" i="13"/>
  <c r="AZ248" i="13"/>
  <c r="AY248" i="13"/>
  <c r="BA248" i="13"/>
  <c r="BC247" i="13"/>
  <c r="T248" i="13"/>
  <c r="AB248" i="13" s="1"/>
  <c r="BB247" i="13"/>
  <c r="BC245" i="13"/>
  <c r="BB245" i="13"/>
  <c r="BA245" i="13"/>
  <c r="BB248" i="13"/>
  <c r="AZ245" i="13"/>
  <c r="BA247" i="13"/>
  <c r="AZ247" i="13"/>
  <c r="AY247" i="13"/>
  <c r="BC248" i="13"/>
  <c r="AY245" i="13"/>
  <c r="BB243" i="13"/>
  <c r="AZ240" i="13"/>
  <c r="BA243" i="13"/>
  <c r="AY240" i="13"/>
  <c r="AZ243" i="13"/>
  <c r="BC239" i="13"/>
  <c r="AY243" i="13"/>
  <c r="BB239" i="13"/>
  <c r="BA244" i="13"/>
  <c r="BA240" i="13"/>
  <c r="BA239" i="13"/>
  <c r="AZ239" i="13"/>
  <c r="BC244" i="13"/>
  <c r="AY239" i="13"/>
  <c r="BB244" i="13"/>
  <c r="BC243" i="13"/>
  <c r="AZ244" i="13"/>
  <c r="BC240" i="13"/>
  <c r="AY244" i="13"/>
  <c r="BB240" i="13"/>
  <c r="T216" i="13"/>
  <c r="AY238" i="13"/>
  <c r="BC238" i="13"/>
  <c r="T238" i="13"/>
  <c r="AB238" i="13" s="1"/>
  <c r="F119" i="5" s="1"/>
  <c r="BB238" i="13"/>
  <c r="BA238" i="13"/>
  <c r="AZ238" i="13"/>
  <c r="I233" i="13"/>
  <c r="I112" i="13"/>
  <c r="I125" i="13"/>
  <c r="I154" i="13"/>
  <c r="I199" i="13"/>
  <c r="I99" i="13"/>
  <c r="I216" i="13"/>
  <c r="I68" i="13"/>
  <c r="I168" i="13"/>
  <c r="F199" i="13"/>
  <c r="T226" i="13" s="1"/>
  <c r="AA226" i="13" s="1"/>
  <c r="F154" i="13"/>
  <c r="T156" i="13" s="1"/>
  <c r="AA156" i="13" s="1"/>
  <c r="F112" i="13"/>
  <c r="T114" i="13" s="1"/>
  <c r="F233" i="13"/>
  <c r="T234" i="13" s="1"/>
  <c r="AB234" i="13" s="1"/>
  <c r="F168" i="13"/>
  <c r="T247" i="13" s="1"/>
  <c r="AB247" i="13" s="1"/>
  <c r="F68" i="13"/>
  <c r="T70" i="13" s="1"/>
  <c r="AA70" i="13" s="1"/>
  <c r="F216" i="13"/>
  <c r="F99" i="13"/>
  <c r="T101" i="13" s="1"/>
  <c r="AA101" i="13" s="1"/>
  <c r="F125" i="13"/>
  <c r="T127" i="13" s="1"/>
  <c r="AA127" i="13" s="1"/>
  <c r="G154" i="13"/>
  <c r="G233" i="13"/>
  <c r="G168" i="13"/>
  <c r="G125" i="13"/>
  <c r="G216" i="13"/>
  <c r="G99" i="13"/>
  <c r="G112" i="13"/>
  <c r="G199" i="13"/>
  <c r="G68" i="13"/>
  <c r="R233" i="13"/>
  <c r="R199" i="13"/>
  <c r="R216" i="13"/>
  <c r="R154" i="13"/>
  <c r="R168" i="13"/>
  <c r="R125" i="13"/>
  <c r="R112" i="13"/>
  <c r="R99" i="13"/>
  <c r="R68" i="13"/>
  <c r="H68" i="13"/>
  <c r="H233" i="13"/>
  <c r="H199" i="13"/>
  <c r="H216" i="13"/>
  <c r="H154" i="13"/>
  <c r="H168" i="13"/>
  <c r="H125" i="13"/>
  <c r="T126" i="13" s="1"/>
  <c r="AA126" i="13" s="1"/>
  <c r="H112" i="13"/>
  <c r="H99" i="13"/>
  <c r="R257" i="13"/>
  <c r="I257" i="13"/>
  <c r="H257" i="13"/>
  <c r="G257" i="13"/>
  <c r="BA237" i="13"/>
  <c r="BC228" i="13"/>
  <c r="BC229" i="13"/>
  <c r="BC227" i="13"/>
  <c r="BC226" i="13"/>
  <c r="T228" i="13"/>
  <c r="AA228" i="13" s="1"/>
  <c r="T130" i="13"/>
  <c r="AA130" i="13" s="1"/>
  <c r="D79" i="16"/>
  <c r="AJ8" i="5"/>
  <c r="T9" i="13"/>
  <c r="T68" i="13"/>
  <c r="BA236" i="13"/>
  <c r="T125" i="13"/>
  <c r="AY8" i="13"/>
  <c r="AY236" i="13"/>
  <c r="T199" i="13"/>
  <c r="BC236" i="13"/>
  <c r="AZ236" i="13"/>
  <c r="T112" i="13"/>
  <c r="BC237" i="13"/>
  <c r="AZ237" i="13"/>
  <c r="AY237" i="13"/>
  <c r="T168" i="13"/>
  <c r="T99" i="13"/>
  <c r="BD126" i="13"/>
  <c r="BB236" i="13"/>
  <c r="BD39" i="13"/>
  <c r="T154" i="13"/>
  <c r="T38" i="13"/>
  <c r="BB237" i="13"/>
  <c r="BC225" i="13"/>
  <c r="BY103" i="13"/>
  <c r="BX187" i="13"/>
  <c r="BX103" i="13"/>
  <c r="T10" i="13"/>
  <c r="AA10" i="13" s="1"/>
  <c r="T110" i="13"/>
  <c r="D49" i="16" s="1"/>
  <c r="BC219" i="13"/>
  <c r="BC223" i="13"/>
  <c r="BC217" i="13"/>
  <c r="BC204" i="13"/>
  <c r="BD204" i="13" s="1"/>
  <c r="T220" i="13"/>
  <c r="Y220" i="13" s="1"/>
  <c r="AA220" i="13" s="1"/>
  <c r="BC222" i="13"/>
  <c r="BC211" i="13"/>
  <c r="BC200" i="13"/>
  <c r="BC221" i="13"/>
  <c r="BC220" i="13"/>
  <c r="BC208" i="13"/>
  <c r="BJ121" i="13"/>
  <c r="BK121" i="13" s="1"/>
  <c r="W113" i="5" s="1"/>
  <c r="W112" i="21" s="1"/>
  <c r="BC224" i="13"/>
  <c r="BC218" i="13"/>
  <c r="BC207" i="13"/>
  <c r="T214" i="13"/>
  <c r="D91" i="16" s="1"/>
  <c r="D88" i="16"/>
  <c r="BJ100" i="13"/>
  <c r="BK100" i="13" s="1"/>
  <c r="W95" i="5" s="1"/>
  <c r="D38" i="16"/>
  <c r="D32" i="16"/>
  <c r="D20" i="16"/>
  <c r="H38" i="13"/>
  <c r="T36" i="13"/>
  <c r="D14" i="16" s="1"/>
  <c r="T66" i="13"/>
  <c r="D26" i="16" s="1"/>
  <c r="T231" i="13"/>
  <c r="D107" i="16" s="1"/>
  <c r="T252" i="13"/>
  <c r="AB252" i="13" s="1"/>
  <c r="T218" i="13"/>
  <c r="AA218" i="13" s="1"/>
  <c r="G38" i="13"/>
  <c r="T224" i="13"/>
  <c r="AA224" i="13" s="1"/>
  <c r="T115" i="13"/>
  <c r="AA115" i="13" s="1"/>
  <c r="D47" i="16"/>
  <c r="T103" i="13"/>
  <c r="AA103" i="13" s="1"/>
  <c r="F38" i="13"/>
  <c r="T39" i="13" s="1"/>
  <c r="AA39" i="13" s="1"/>
  <c r="T197" i="13"/>
  <c r="D83" i="16" s="1"/>
  <c r="T69" i="13"/>
  <c r="AA69" i="13" s="1"/>
  <c r="T223" i="13"/>
  <c r="AA223" i="13" s="1"/>
  <c r="D25" i="16"/>
  <c r="T222" i="13"/>
  <c r="D45" i="16"/>
  <c r="T221" i="13"/>
  <c r="BX46" i="13"/>
  <c r="I38" i="13"/>
  <c r="BY121" i="13"/>
  <c r="D69" i="16"/>
  <c r="T171" i="13"/>
  <c r="AA171" i="13" s="1"/>
  <c r="R38" i="13"/>
  <c r="F40" i="5" l="1"/>
  <c r="AC40" i="5" s="1"/>
  <c r="AJ235" i="13"/>
  <c r="BG235" i="13" s="1"/>
  <c r="BH235" i="13" s="1"/>
  <c r="P40" i="5" s="1"/>
  <c r="AI235" i="13"/>
  <c r="BD235" i="13" s="1"/>
  <c r="BE235" i="13" s="1"/>
  <c r="I40" i="5" s="1"/>
  <c r="AK235" i="13"/>
  <c r="BJ235" i="13" s="1"/>
  <c r="BK235" i="13" s="1"/>
  <c r="W40" i="5" s="1"/>
  <c r="D187" i="21"/>
  <c r="C188" i="5"/>
  <c r="C189" i="5"/>
  <c r="D189" i="21" s="1"/>
  <c r="C89" i="5"/>
  <c r="D88" i="21"/>
  <c r="C60" i="5"/>
  <c r="D59" i="21"/>
  <c r="E212" i="21"/>
  <c r="AJ104" i="13"/>
  <c r="AI104" i="13"/>
  <c r="AK104" i="13"/>
  <c r="U51" i="13"/>
  <c r="AA51" i="13" s="1"/>
  <c r="F149" i="5"/>
  <c r="AC149" i="5" s="1"/>
  <c r="AI255" i="13"/>
  <c r="AJ255" i="13"/>
  <c r="AK255" i="13"/>
  <c r="F70" i="5"/>
  <c r="AC70" i="5" s="1"/>
  <c r="AK253" i="13"/>
  <c r="AI253" i="13"/>
  <c r="AJ253" i="13"/>
  <c r="E211" i="21"/>
  <c r="W95" i="21"/>
  <c r="W96" i="21"/>
  <c r="U145" i="13"/>
  <c r="AB208" i="21"/>
  <c r="AA49" i="13"/>
  <c r="AB49" i="13" s="1"/>
  <c r="U48" i="13"/>
  <c r="V212" i="13"/>
  <c r="U212" i="13"/>
  <c r="U213" i="13" s="1"/>
  <c r="AA211" i="13"/>
  <c r="AJ234" i="13"/>
  <c r="AI234" i="13"/>
  <c r="AK234" i="13"/>
  <c r="BJ234" i="13" s="1"/>
  <c r="AJ248" i="13"/>
  <c r="AI248" i="13"/>
  <c r="AK248" i="13"/>
  <c r="AI249" i="13"/>
  <c r="AK249" i="13"/>
  <c r="AJ249" i="13"/>
  <c r="AI246" i="13"/>
  <c r="AK246" i="13"/>
  <c r="AJ246" i="13"/>
  <c r="AI238" i="13"/>
  <c r="AK238" i="13"/>
  <c r="AJ238" i="13"/>
  <c r="AK247" i="13"/>
  <c r="AJ247" i="13"/>
  <c r="AI247" i="13"/>
  <c r="AJ252" i="13"/>
  <c r="AI252" i="13"/>
  <c r="K79" i="11" s="1"/>
  <c r="AK252" i="13"/>
  <c r="AI251" i="13"/>
  <c r="AK251" i="13"/>
  <c r="M76" i="11" s="1"/>
  <c r="AJ251" i="13"/>
  <c r="L76" i="11" s="1"/>
  <c r="U210" i="13"/>
  <c r="AA210" i="13" s="1"/>
  <c r="U80" i="13"/>
  <c r="U81" i="13" s="1"/>
  <c r="F153" i="5"/>
  <c r="Y77" i="13"/>
  <c r="D7" i="16"/>
  <c r="Y31" i="13"/>
  <c r="AA31" i="13" s="1"/>
  <c r="AB31" i="13" s="1"/>
  <c r="Y58" i="13"/>
  <c r="AA58" i="13" s="1"/>
  <c r="AB58" i="13" s="1"/>
  <c r="Y221" i="13"/>
  <c r="AA221" i="13" s="1"/>
  <c r="AB221" i="13" s="1"/>
  <c r="I28" i="3" s="1"/>
  <c r="Y76" i="13"/>
  <c r="AA76" i="13" s="1"/>
  <c r="AB76" i="13" s="1"/>
  <c r="Y61" i="13"/>
  <c r="AA61" i="13" s="1"/>
  <c r="AB61" i="13" s="1"/>
  <c r="Y94" i="13"/>
  <c r="Y206" i="13"/>
  <c r="AA206" i="13" s="1"/>
  <c r="U91" i="13"/>
  <c r="Y91" i="13"/>
  <c r="Y60" i="13"/>
  <c r="AA60" i="13" s="1"/>
  <c r="AB60" i="13" s="1"/>
  <c r="D101" i="16"/>
  <c r="AB224" i="13"/>
  <c r="AJ224" i="13" s="1"/>
  <c r="D97" i="16"/>
  <c r="Y114" i="13"/>
  <c r="Y205" i="13"/>
  <c r="Y42" i="13"/>
  <c r="AA42" i="13" s="1"/>
  <c r="AB42" i="13" s="1"/>
  <c r="Y78" i="13"/>
  <c r="AA78" i="13" s="1"/>
  <c r="AB78" i="13" s="1"/>
  <c r="Y203" i="13"/>
  <c r="Y53" i="13"/>
  <c r="AA53" i="13" s="1"/>
  <c r="AB53" i="13" s="1"/>
  <c r="Y54" i="13"/>
  <c r="AA54" i="13" s="1"/>
  <c r="AB54" i="13" s="1"/>
  <c r="U92" i="13"/>
  <c r="Y92" i="13"/>
  <c r="D95" i="16"/>
  <c r="Y33" i="13"/>
  <c r="AA33" i="13" s="1"/>
  <c r="AB33" i="13" s="1"/>
  <c r="Y28" i="13"/>
  <c r="AA28" i="13" s="1"/>
  <c r="AB28" i="13" s="1"/>
  <c r="Y119" i="13"/>
  <c r="AA119" i="13" s="1"/>
  <c r="AB119" i="13" s="1"/>
  <c r="D17" i="16"/>
  <c r="D100" i="16"/>
  <c r="Y52" i="13"/>
  <c r="AA52" i="13" s="1"/>
  <c r="AB52" i="13" s="1"/>
  <c r="Y85" i="13"/>
  <c r="AA85" i="13" s="1"/>
  <c r="AB85" i="13" s="1"/>
  <c r="D99" i="16"/>
  <c r="Y222" i="13"/>
  <c r="AA222" i="13" s="1"/>
  <c r="AB222" i="13" s="1"/>
  <c r="AK222" i="13" s="1"/>
  <c r="Y202" i="13"/>
  <c r="Y84" i="13"/>
  <c r="D59" i="16"/>
  <c r="Y32" i="13"/>
  <c r="AA32" i="13" s="1"/>
  <c r="AB32" i="13" s="1"/>
  <c r="Y212" i="13"/>
  <c r="AA212" i="13" s="1"/>
  <c r="D29" i="16"/>
  <c r="Y50" i="13"/>
  <c r="AA50" i="13" s="1"/>
  <c r="AB50" i="13" s="1"/>
  <c r="Y74" i="13"/>
  <c r="AA74" i="13" s="1"/>
  <c r="AB74" i="13" s="1"/>
  <c r="Y213" i="13"/>
  <c r="AB184" i="13"/>
  <c r="AB64" i="13"/>
  <c r="AB142" i="13"/>
  <c r="AB181" i="13"/>
  <c r="AB195" i="13"/>
  <c r="AB163" i="13"/>
  <c r="AB161" i="13"/>
  <c r="AB40" i="13"/>
  <c r="AB190" i="13"/>
  <c r="AB147" i="13"/>
  <c r="AB47" i="13"/>
  <c r="AB146" i="13"/>
  <c r="AB70" i="13"/>
  <c r="AB140" i="13"/>
  <c r="F132" i="5" s="1"/>
  <c r="AB23" i="13"/>
  <c r="AB102" i="13"/>
  <c r="AB191" i="13"/>
  <c r="AB122" i="13"/>
  <c r="AB188" i="13"/>
  <c r="AB136" i="13"/>
  <c r="AB73" i="13"/>
  <c r="AB182" i="13"/>
  <c r="AB118" i="13"/>
  <c r="AB156" i="13"/>
  <c r="AB116" i="13"/>
  <c r="AB194" i="13"/>
  <c r="AB149" i="13"/>
  <c r="AB71" i="13"/>
  <c r="AB72" i="13"/>
  <c r="AB193" i="13"/>
  <c r="AB143" i="13"/>
  <c r="AB151" i="13"/>
  <c r="AB105" i="13"/>
  <c r="AB132" i="13"/>
  <c r="AB87" i="13"/>
  <c r="AB150" i="13"/>
  <c r="F143" i="5" s="1"/>
  <c r="AB174" i="13"/>
  <c r="AB131" i="13"/>
  <c r="AB57" i="13"/>
  <c r="AB133" i="13"/>
  <c r="F255" i="5"/>
  <c r="F165" i="5"/>
  <c r="U165" i="13"/>
  <c r="F39" i="5"/>
  <c r="T113" i="13"/>
  <c r="AA113" i="13" s="1"/>
  <c r="AB88" i="13"/>
  <c r="U89" i="13"/>
  <c r="AB209" i="13"/>
  <c r="D90" i="16"/>
  <c r="AB24" i="13"/>
  <c r="D21" i="16"/>
  <c r="D24" i="16"/>
  <c r="T170" i="13"/>
  <c r="AA170" i="13" s="1"/>
  <c r="T41" i="13"/>
  <c r="AA41" i="13" s="1"/>
  <c r="T201" i="13"/>
  <c r="U201" i="13" s="1"/>
  <c r="U203" i="13" s="1"/>
  <c r="F196" i="5"/>
  <c r="D89" i="16"/>
  <c r="T200" i="13"/>
  <c r="AA200" i="13" s="1"/>
  <c r="D9" i="16"/>
  <c r="D61" i="16"/>
  <c r="D22" i="16"/>
  <c r="AB15" i="13"/>
  <c r="BD83" i="13"/>
  <c r="BE83" i="13" s="1"/>
  <c r="I80" i="5" s="1"/>
  <c r="BG83" i="13"/>
  <c r="BH83" i="13" s="1"/>
  <c r="P80" i="5" s="1"/>
  <c r="BJ83" i="13"/>
  <c r="BK83" i="13" s="1"/>
  <c r="W80" i="5" s="1"/>
  <c r="BG86" i="13"/>
  <c r="BH86" i="13" s="1"/>
  <c r="P83" i="5" s="1"/>
  <c r="BJ86" i="13"/>
  <c r="BK86" i="13" s="1"/>
  <c r="W83" i="5" s="1"/>
  <c r="BD86" i="13"/>
  <c r="BE86" i="13" s="1"/>
  <c r="I83" i="5" s="1"/>
  <c r="D44" i="16"/>
  <c r="BG103" i="13"/>
  <c r="BH103" i="13" s="1"/>
  <c r="P98" i="5" s="1"/>
  <c r="BJ103" i="13"/>
  <c r="BK103" i="13" s="1"/>
  <c r="W98" i="5" s="1"/>
  <c r="BD103" i="13"/>
  <c r="BE103" i="13" s="1"/>
  <c r="I98" i="5" s="1"/>
  <c r="BG95" i="13"/>
  <c r="BH95" i="13" s="1"/>
  <c r="BJ95" i="13"/>
  <c r="BK95" i="13" s="1"/>
  <c r="BD95" i="13"/>
  <c r="BE95" i="13" s="1"/>
  <c r="BG55" i="13"/>
  <c r="BH55" i="13" s="1"/>
  <c r="BJ55" i="13"/>
  <c r="BK55" i="13" s="1"/>
  <c r="BD55" i="13"/>
  <c r="BE55" i="13" s="1"/>
  <c r="BG117" i="13"/>
  <c r="BH117" i="13" s="1"/>
  <c r="P109" i="5" s="1"/>
  <c r="P109" i="21" s="1"/>
  <c r="BJ117" i="13"/>
  <c r="BK117" i="13" s="1"/>
  <c r="W109" i="5" s="1"/>
  <c r="W109" i="21" s="1"/>
  <c r="BD117" i="13"/>
  <c r="BE117" i="13" s="1"/>
  <c r="I109" i="5" s="1"/>
  <c r="I109" i="21" s="1"/>
  <c r="BG138" i="13"/>
  <c r="BH138" i="13" s="1"/>
  <c r="P130" i="5" s="1"/>
  <c r="BD138" i="13"/>
  <c r="BE138" i="13" s="1"/>
  <c r="I130" i="5" s="1"/>
  <c r="BJ138" i="13"/>
  <c r="BK138" i="13" s="1"/>
  <c r="W130" i="5" s="1"/>
  <c r="AB25" i="13"/>
  <c r="AB177" i="13"/>
  <c r="AB44" i="13"/>
  <c r="BD82" i="13"/>
  <c r="BE82" i="13" s="1"/>
  <c r="BG82" i="13"/>
  <c r="BH82" i="13" s="1"/>
  <c r="BJ82" i="13"/>
  <c r="BK82" i="13" s="1"/>
  <c r="D76" i="16"/>
  <c r="D53" i="16"/>
  <c r="BJ160" i="13"/>
  <c r="BK160" i="13" s="1"/>
  <c r="W154" i="5" s="1"/>
  <c r="BG160" i="13"/>
  <c r="BH160" i="13" s="1"/>
  <c r="P154" i="5" s="1"/>
  <c r="BD160" i="13"/>
  <c r="BE160" i="13" s="1"/>
  <c r="BG179" i="13"/>
  <c r="BH179" i="13" s="1"/>
  <c r="P173" i="5" s="1"/>
  <c r="BJ179" i="13"/>
  <c r="BK179" i="13" s="1"/>
  <c r="W173" i="5" s="1"/>
  <c r="BD179" i="13"/>
  <c r="BE179" i="13" s="1"/>
  <c r="I173" i="5" s="1"/>
  <c r="AB11" i="13"/>
  <c r="AB17" i="13"/>
  <c r="BJ230" i="13"/>
  <c r="BK230" i="13" s="1"/>
  <c r="W224" i="5" s="1"/>
  <c r="BD230" i="13"/>
  <c r="BE230" i="13" s="1"/>
  <c r="I224" i="5" s="1"/>
  <c r="BG230" i="13"/>
  <c r="BH230" i="13" s="1"/>
  <c r="P224" i="5" s="1"/>
  <c r="AB157" i="13"/>
  <c r="D13" i="16"/>
  <c r="AB35" i="13"/>
  <c r="D10" i="16"/>
  <c r="AB172" i="13"/>
  <c r="AB120" i="13"/>
  <c r="AB128" i="13"/>
  <c r="AB180" i="13"/>
  <c r="F99" i="5"/>
  <c r="AB135" i="13"/>
  <c r="AB45" i="13"/>
  <c r="BG208" i="13"/>
  <c r="BH208" i="13" s="1"/>
  <c r="P202" i="5" s="1"/>
  <c r="P203" i="21" s="1"/>
  <c r="BD208" i="13"/>
  <c r="BE208" i="13" s="1"/>
  <c r="I202" i="5" s="1"/>
  <c r="I203" i="21" s="1"/>
  <c r="BJ208" i="13"/>
  <c r="BK208" i="13" s="1"/>
  <c r="W202" i="5" s="1"/>
  <c r="W203" i="21" s="1"/>
  <c r="AB21" i="13"/>
  <c r="AB186" i="13"/>
  <c r="AB176" i="13"/>
  <c r="BG183" i="13"/>
  <c r="BH183" i="13" s="1"/>
  <c r="P177" i="5" s="1"/>
  <c r="BJ183" i="13"/>
  <c r="BK183" i="13" s="1"/>
  <c r="W177" i="5" s="1"/>
  <c r="BD183" i="13"/>
  <c r="BE183" i="13" s="1"/>
  <c r="I177" i="5" s="1"/>
  <c r="AB230" i="13"/>
  <c r="AK230" i="13" s="1"/>
  <c r="AB137" i="13"/>
  <c r="AB43" i="13"/>
  <c r="AB158" i="13"/>
  <c r="BD207" i="13"/>
  <c r="BE207" i="13" s="1"/>
  <c r="BG207" i="13"/>
  <c r="BH207" i="13" s="1"/>
  <c r="BJ207" i="13"/>
  <c r="BK207" i="13" s="1"/>
  <c r="BJ16" i="13"/>
  <c r="BK16" i="13" s="1"/>
  <c r="W17" i="5" s="1"/>
  <c r="W17" i="21" s="1"/>
  <c r="BG16" i="13"/>
  <c r="BH16" i="13" s="1"/>
  <c r="P17" i="5" s="1"/>
  <c r="P17" i="21" s="1"/>
  <c r="BD16" i="13"/>
  <c r="BE16" i="13" s="1"/>
  <c r="I17" i="5" s="1"/>
  <c r="I17" i="21" s="1"/>
  <c r="BJ79" i="13"/>
  <c r="BK79" i="13" s="1"/>
  <c r="W77" i="5" s="1"/>
  <c r="W78" i="21" s="1"/>
  <c r="BD79" i="13"/>
  <c r="BE79" i="13" s="1"/>
  <c r="I77" i="5" s="1"/>
  <c r="BG79" i="13"/>
  <c r="BH79" i="13" s="1"/>
  <c r="P77" i="5" s="1"/>
  <c r="BG63" i="13"/>
  <c r="BH63" i="13" s="1"/>
  <c r="P61" i="5" s="1"/>
  <c r="BD63" i="13"/>
  <c r="BE63" i="13" s="1"/>
  <c r="BJ63" i="13"/>
  <c r="BK63" i="13" s="1"/>
  <c r="W61" i="5" s="1"/>
  <c r="BD19" i="13"/>
  <c r="BE19" i="13" s="1"/>
  <c r="BG19" i="13"/>
  <c r="BH19" i="13" s="1"/>
  <c r="P20" i="5" s="1"/>
  <c r="P20" i="21" s="1"/>
  <c r="BJ19" i="13"/>
  <c r="BK19" i="13" s="1"/>
  <c r="W20" i="5" s="1"/>
  <c r="BG134" i="13"/>
  <c r="BH134" i="13" s="1"/>
  <c r="P126" i="5" s="1"/>
  <c r="BJ134" i="13"/>
  <c r="BK134" i="13" s="1"/>
  <c r="W126" i="5" s="1"/>
  <c r="BD134" i="13"/>
  <c r="BE134" i="13" s="1"/>
  <c r="I126" i="5" s="1"/>
  <c r="AB14" i="13"/>
  <c r="BJ122" i="13"/>
  <c r="BK122" i="13" s="1"/>
  <c r="W114" i="5" s="1"/>
  <c r="BD122" i="13"/>
  <c r="BE122" i="13" s="1"/>
  <c r="I114" i="5" s="1"/>
  <c r="BG122" i="13"/>
  <c r="BH122" i="13" s="1"/>
  <c r="P114" i="5" s="1"/>
  <c r="AB173" i="13"/>
  <c r="AB185" i="13"/>
  <c r="AB141" i="13"/>
  <c r="D11" i="16"/>
  <c r="D12" i="16"/>
  <c r="AB12" i="13"/>
  <c r="BG30" i="13"/>
  <c r="BH30" i="13" s="1"/>
  <c r="P31" i="5" s="1"/>
  <c r="P31" i="21" s="1"/>
  <c r="BJ30" i="13"/>
  <c r="BK30" i="13" s="1"/>
  <c r="W31" i="5" s="1"/>
  <c r="W31" i="21" s="1"/>
  <c r="BD30" i="13"/>
  <c r="BE30" i="13" s="1"/>
  <c r="BG175" i="13"/>
  <c r="BH175" i="13" s="1"/>
  <c r="P170" i="5" s="1"/>
  <c r="BJ175" i="13"/>
  <c r="BK175" i="13" s="1"/>
  <c r="W170" i="5" s="1"/>
  <c r="BD175" i="13"/>
  <c r="BE175" i="13" s="1"/>
  <c r="I170" i="5" s="1"/>
  <c r="BG59" i="13"/>
  <c r="BH59" i="13" s="1"/>
  <c r="P58" i="5" s="1"/>
  <c r="BD59" i="13"/>
  <c r="BE59" i="13" s="1"/>
  <c r="BJ59" i="13"/>
  <c r="BK59" i="13" s="1"/>
  <c r="W58" i="5" s="1"/>
  <c r="BG90" i="13"/>
  <c r="BH90" i="13" s="1"/>
  <c r="P87" i="5" s="1"/>
  <c r="P87" i="21" s="1"/>
  <c r="BJ90" i="13"/>
  <c r="BK90" i="13" s="1"/>
  <c r="W87" i="5" s="1"/>
  <c r="W87" i="21" s="1"/>
  <c r="BD90" i="13"/>
  <c r="BE90" i="13" s="1"/>
  <c r="I87" i="5" s="1"/>
  <c r="I87" i="21" s="1"/>
  <c r="BD56" i="13"/>
  <c r="BE56" i="13" s="1"/>
  <c r="I55" i="5" s="1"/>
  <c r="I55" i="21" s="1"/>
  <c r="BG56" i="13"/>
  <c r="BH56" i="13" s="1"/>
  <c r="P55" i="5" s="1"/>
  <c r="P55" i="21" s="1"/>
  <c r="BJ56" i="13"/>
  <c r="BK56" i="13" s="1"/>
  <c r="W55" i="5" s="1"/>
  <c r="W55" i="21" s="1"/>
  <c r="BD35" i="13"/>
  <c r="BE35" i="13" s="1"/>
  <c r="BG35" i="13"/>
  <c r="BH35" i="13" s="1"/>
  <c r="BJ35" i="13"/>
  <c r="BK35" i="13" s="1"/>
  <c r="BJ189" i="13"/>
  <c r="BK189" i="13" s="1"/>
  <c r="W183" i="5" s="1"/>
  <c r="BD189" i="13"/>
  <c r="BE189" i="13" s="1"/>
  <c r="I183" i="5" s="1"/>
  <c r="BG189" i="13"/>
  <c r="BH189" i="13" s="1"/>
  <c r="P183" i="5" s="1"/>
  <c r="AB22" i="13"/>
  <c r="AB27" i="13"/>
  <c r="BJ148" i="13"/>
  <c r="BK148" i="13" s="1"/>
  <c r="W141" i="5" s="1"/>
  <c r="BG148" i="13"/>
  <c r="BH148" i="13" s="1"/>
  <c r="P141" i="5" s="1"/>
  <c r="BD148" i="13"/>
  <c r="BE148" i="13" s="1"/>
  <c r="AB101" i="13"/>
  <c r="BG62" i="13"/>
  <c r="BH62" i="13" s="1"/>
  <c r="BJ62" i="13"/>
  <c r="BK62" i="13" s="1"/>
  <c r="BD62" i="13"/>
  <c r="BE62" i="13" s="1"/>
  <c r="AB29" i="13"/>
  <c r="AB13" i="13"/>
  <c r="BJ165" i="13"/>
  <c r="BK165" i="13" s="1"/>
  <c r="W159" i="5" s="1"/>
  <c r="BD165" i="13"/>
  <c r="BE165" i="13" s="1"/>
  <c r="I159" i="5" s="1"/>
  <c r="BG165" i="13"/>
  <c r="BH165" i="13" s="1"/>
  <c r="P159" i="5" s="1"/>
  <c r="AB129" i="13"/>
  <c r="BG51" i="13"/>
  <c r="BH51" i="13" s="1"/>
  <c r="P51" i="5" s="1"/>
  <c r="BD51" i="13"/>
  <c r="BE51" i="13" s="1"/>
  <c r="BJ51" i="13"/>
  <c r="BK51" i="13" s="1"/>
  <c r="W51" i="5" s="1"/>
  <c r="BG144" i="13"/>
  <c r="BH144" i="13" s="1"/>
  <c r="P136" i="5" s="1"/>
  <c r="BJ144" i="13"/>
  <c r="BK144" i="13" s="1"/>
  <c r="W136" i="5" s="1"/>
  <c r="BD144" i="13"/>
  <c r="BE144" i="13" s="1"/>
  <c r="I136" i="5" s="1"/>
  <c r="BG34" i="13"/>
  <c r="BH34" i="13" s="1"/>
  <c r="BJ34" i="13"/>
  <c r="BK34" i="13" s="1"/>
  <c r="BD34" i="13"/>
  <c r="BE34" i="13" s="1"/>
  <c r="AB20" i="13"/>
  <c r="BD93" i="13"/>
  <c r="BE93" i="13" s="1"/>
  <c r="I90" i="5" s="1"/>
  <c r="BG93" i="13"/>
  <c r="BH93" i="13" s="1"/>
  <c r="P90" i="5" s="1"/>
  <c r="BJ93" i="13"/>
  <c r="BK93" i="13" s="1"/>
  <c r="W90" i="5" s="1"/>
  <c r="AB18" i="13"/>
  <c r="AB139" i="13"/>
  <c r="AB127" i="13"/>
  <c r="AB196" i="13"/>
  <c r="AB178" i="13"/>
  <c r="BE204" i="13"/>
  <c r="I199" i="5" s="1"/>
  <c r="I200" i="21" s="1"/>
  <c r="BE126" i="13"/>
  <c r="I118" i="5" s="1"/>
  <c r="BE39" i="13"/>
  <c r="I38" i="5" s="1"/>
  <c r="I38" i="21" s="1"/>
  <c r="F257" i="5"/>
  <c r="AC257" i="5" s="1"/>
  <c r="F184" i="5"/>
  <c r="F258" i="5"/>
  <c r="F187" i="5"/>
  <c r="F244" i="5"/>
  <c r="T229" i="13"/>
  <c r="AA229" i="13" s="1"/>
  <c r="T227" i="13"/>
  <c r="AA227" i="13" s="1"/>
  <c r="T225" i="13"/>
  <c r="AA225" i="13" s="1"/>
  <c r="T243" i="13"/>
  <c r="AB243" i="13" s="1"/>
  <c r="T239" i="13"/>
  <c r="AB239" i="13" s="1"/>
  <c r="D63" i="16"/>
  <c r="T245" i="13"/>
  <c r="AB245" i="13" s="1"/>
  <c r="T244" i="13"/>
  <c r="AB244" i="13" s="1"/>
  <c r="T242" i="13"/>
  <c r="AB242" i="13" s="1"/>
  <c r="T240" i="13"/>
  <c r="AB240" i="13" s="1"/>
  <c r="D80" i="16"/>
  <c r="T237" i="13"/>
  <c r="AB237" i="13" s="1"/>
  <c r="T241" i="13"/>
  <c r="AB241" i="13" s="1"/>
  <c r="T236" i="13"/>
  <c r="T100" i="13"/>
  <c r="AA100" i="13" s="1"/>
  <c r="T152" i="13"/>
  <c r="D65" i="16" s="1"/>
  <c r="D62" i="16"/>
  <c r="AB228" i="13"/>
  <c r="AI228" i="13" s="1"/>
  <c r="D105" i="16"/>
  <c r="F105" i="16" s="1"/>
  <c r="AB226" i="13"/>
  <c r="AI226" i="13" s="1"/>
  <c r="D103" i="16"/>
  <c r="F103" i="16" s="1"/>
  <c r="D77" i="16"/>
  <c r="D82" i="16"/>
  <c r="D81" i="16"/>
  <c r="D60" i="16"/>
  <c r="D64" i="16"/>
  <c r="BJ130" i="13"/>
  <c r="BK130" i="13" s="1"/>
  <c r="W122" i="5" s="1"/>
  <c r="BG130" i="13"/>
  <c r="BH130" i="13" s="1"/>
  <c r="P122" i="5" s="1"/>
  <c r="BD130" i="13"/>
  <c r="BD192" i="13"/>
  <c r="BG192" i="13"/>
  <c r="BH192" i="13" s="1"/>
  <c r="P186" i="5" s="1"/>
  <c r="P186" i="21" s="1"/>
  <c r="BJ192" i="13"/>
  <c r="BK192" i="13" s="1"/>
  <c r="W186" i="5" s="1"/>
  <c r="W186" i="21" s="1"/>
  <c r="BY108" i="13"/>
  <c r="T219" i="13"/>
  <c r="T169" i="13"/>
  <c r="AA169" i="13" s="1"/>
  <c r="T217" i="13"/>
  <c r="AA217" i="13" s="1"/>
  <c r="T155" i="13"/>
  <c r="AA155" i="13" s="1"/>
  <c r="BG39" i="13"/>
  <c r="BH39" i="13" s="1"/>
  <c r="P38" i="5" s="1"/>
  <c r="P38" i="21" s="1"/>
  <c r="AR73" i="5"/>
  <c r="AR38" i="5"/>
  <c r="BY5" i="13"/>
  <c r="AS73" i="5"/>
  <c r="AV38" i="5"/>
  <c r="AW73" i="5"/>
  <c r="AW38" i="5"/>
  <c r="AT73" i="5"/>
  <c r="AX73" i="5"/>
  <c r="AT38" i="5"/>
  <c r="AU73" i="5"/>
  <c r="AU38" i="5"/>
  <c r="AS38" i="5"/>
  <c r="AX38" i="5"/>
  <c r="AV73" i="5"/>
  <c r="BJ39" i="13"/>
  <c r="BK39" i="13" s="1"/>
  <c r="W38" i="5" s="1"/>
  <c r="W38" i="21" s="1"/>
  <c r="BX121" i="13"/>
  <c r="CA121" i="13" s="1"/>
  <c r="BY187" i="13"/>
  <c r="BX62" i="13"/>
  <c r="BZ62" i="13" s="1"/>
  <c r="BY90" i="13"/>
  <c r="BX159" i="13"/>
  <c r="BZ159" i="13" s="1"/>
  <c r="BY159" i="13"/>
  <c r="BX109" i="13"/>
  <c r="BZ109" i="13" s="1"/>
  <c r="BY109" i="13"/>
  <c r="BX108" i="13"/>
  <c r="CA108" i="13" s="1"/>
  <c r="BY62" i="13"/>
  <c r="BX90" i="13"/>
  <c r="CC90" i="13" s="1"/>
  <c r="BX83" i="13"/>
  <c r="CC83" i="13" s="1"/>
  <c r="BX208" i="13"/>
  <c r="CC208" i="13" s="1"/>
  <c r="BY79" i="13"/>
  <c r="BX160" i="13"/>
  <c r="CA160" i="13" s="1"/>
  <c r="BY164" i="13"/>
  <c r="BY208" i="13"/>
  <c r="BX164" i="13"/>
  <c r="CC164" i="13" s="1"/>
  <c r="BX95" i="13"/>
  <c r="BZ95" i="13" s="1"/>
  <c r="BY138" i="13"/>
  <c r="BX115" i="13"/>
  <c r="CC115" i="13" s="1"/>
  <c r="BX55" i="13"/>
  <c r="BZ55" i="13" s="1"/>
  <c r="CG55" i="13" s="1"/>
  <c r="BY115" i="13"/>
  <c r="BY86" i="13"/>
  <c r="BX211" i="13"/>
  <c r="BZ211" i="13" s="1"/>
  <c r="CG211" i="13" s="1"/>
  <c r="BY55" i="13"/>
  <c r="BX86" i="13"/>
  <c r="BZ86" i="13" s="1"/>
  <c r="BY160" i="13"/>
  <c r="BY83" i="13"/>
  <c r="BY95" i="13"/>
  <c r="BX138" i="13"/>
  <c r="BZ138" i="13" s="1"/>
  <c r="CG138" i="13" s="1"/>
  <c r="BX79" i="13"/>
  <c r="BZ79" i="13" s="1"/>
  <c r="BY211" i="13"/>
  <c r="BX207" i="13"/>
  <c r="BZ207" i="13" s="1"/>
  <c r="BX93" i="13"/>
  <c r="CC93" i="13" s="1"/>
  <c r="BX51" i="13"/>
  <c r="BZ51" i="13" s="1"/>
  <c r="CG51" i="13" s="1"/>
  <c r="BX200" i="13"/>
  <c r="CC200" i="13" s="1"/>
  <c r="BX113" i="13"/>
  <c r="BZ113" i="13" s="1"/>
  <c r="BX155" i="13"/>
  <c r="BZ155" i="13" s="1"/>
  <c r="BY56" i="13"/>
  <c r="BY93" i="13"/>
  <c r="BY207" i="13"/>
  <c r="BY26" i="13"/>
  <c r="BY82" i="13"/>
  <c r="BX100" i="13"/>
  <c r="CA100" i="13" s="1"/>
  <c r="BX134" i="13"/>
  <c r="BZ134" i="13" s="1"/>
  <c r="BY96" i="13"/>
  <c r="BY237" i="13"/>
  <c r="BY68" i="13"/>
  <c r="BY179" i="13"/>
  <c r="BX10" i="13"/>
  <c r="BZ10" i="13" s="1"/>
  <c r="BY65" i="13"/>
  <c r="BY63" i="13"/>
  <c r="BX204" i="13"/>
  <c r="BZ204" i="13" s="1"/>
  <c r="CG204" i="13" s="1"/>
  <c r="BX169" i="13"/>
  <c r="CA169" i="13" s="1"/>
  <c r="BX82" i="13"/>
  <c r="BZ82" i="13" s="1"/>
  <c r="BX96" i="13"/>
  <c r="BZ96" i="13" s="1"/>
  <c r="BY75" i="13"/>
  <c r="BY51" i="13"/>
  <c r="BY39" i="13"/>
  <c r="BY38" i="13"/>
  <c r="BX117" i="13"/>
  <c r="BZ117" i="13" s="1"/>
  <c r="CG117" i="13" s="1"/>
  <c r="BX63" i="13"/>
  <c r="CA63" i="13" s="1"/>
  <c r="BX75" i="13"/>
  <c r="BZ75" i="13" s="1"/>
  <c r="CG75" i="13" s="1"/>
  <c r="BX69" i="13"/>
  <c r="CA69" i="13" s="1"/>
  <c r="BY59" i="13"/>
  <c r="BY199" i="13"/>
  <c r="BY30" i="13"/>
  <c r="BY126" i="13"/>
  <c r="BY204" i="13"/>
  <c r="BY16" i="13"/>
  <c r="BY19" i="13"/>
  <c r="BX106" i="13"/>
  <c r="BZ106" i="13" s="1"/>
  <c r="BX65" i="13"/>
  <c r="CC65" i="13" s="1"/>
  <c r="BX126" i="13"/>
  <c r="BZ126" i="13" s="1"/>
  <c r="BX56" i="13"/>
  <c r="BZ56" i="13" s="1"/>
  <c r="BY252" i="13"/>
  <c r="BY236" i="13"/>
  <c r="BY112" i="13"/>
  <c r="BY171" i="13"/>
  <c r="BX39" i="13"/>
  <c r="BZ39" i="13" s="1"/>
  <c r="CG39" i="13" s="1"/>
  <c r="BX16" i="13"/>
  <c r="BZ16" i="13" s="1"/>
  <c r="BX171" i="13"/>
  <c r="CC171" i="13" s="1"/>
  <c r="BX59" i="13"/>
  <c r="BZ59" i="13" s="1"/>
  <c r="BX30" i="13"/>
  <c r="BZ30" i="13" s="1"/>
  <c r="BY69" i="13"/>
  <c r="BY183" i="13"/>
  <c r="BY117" i="13"/>
  <c r="BY100" i="13"/>
  <c r="BY155" i="13"/>
  <c r="BY200" i="13"/>
  <c r="BY10" i="13"/>
  <c r="BY107" i="13"/>
  <c r="BY125" i="13"/>
  <c r="BY169" i="13"/>
  <c r="BX107" i="13"/>
  <c r="BZ107" i="13" s="1"/>
  <c r="BX19" i="13"/>
  <c r="CA19" i="13" s="1"/>
  <c r="BX26" i="13"/>
  <c r="CA26" i="13" s="1"/>
  <c r="BX183" i="13"/>
  <c r="BZ183" i="13" s="1"/>
  <c r="BX179" i="13"/>
  <c r="CA179" i="13" s="1"/>
  <c r="BY106" i="13"/>
  <c r="BY134" i="13"/>
  <c r="BY113" i="13"/>
  <c r="BY46" i="13"/>
  <c r="BY99" i="13"/>
  <c r="BY154" i="13"/>
  <c r="BG126" i="13"/>
  <c r="BH126" i="13" s="1"/>
  <c r="P118" i="5" s="1"/>
  <c r="BJ126" i="13"/>
  <c r="BK126" i="13" s="1"/>
  <c r="W118" i="5" s="1"/>
  <c r="BX198" i="13"/>
  <c r="CA198" i="13" s="1"/>
  <c r="BY223" i="13"/>
  <c r="BY198" i="13"/>
  <c r="BY36" i="13"/>
  <c r="BY144" i="13"/>
  <c r="BY67" i="13"/>
  <c r="BY110" i="13"/>
  <c r="BX98" i="13"/>
  <c r="CA98" i="13" s="1"/>
  <c r="BY222" i="13"/>
  <c r="BY167" i="13"/>
  <c r="BY123" i="13"/>
  <c r="BY37" i="13"/>
  <c r="BY233" i="13"/>
  <c r="BY66" i="13"/>
  <c r="BY168" i="13"/>
  <c r="BY98" i="13"/>
  <c r="BY219" i="13"/>
  <c r="BY152" i="13"/>
  <c r="BY224" i="13"/>
  <c r="BY166" i="13"/>
  <c r="BY216" i="13"/>
  <c r="BY111" i="13"/>
  <c r="BY231" i="13"/>
  <c r="BX97" i="13"/>
  <c r="BZ97" i="13" s="1"/>
  <c r="BY35" i="13"/>
  <c r="BY221" i="13"/>
  <c r="BY220" i="13"/>
  <c r="BY153" i="13"/>
  <c r="BY197" i="13"/>
  <c r="BX144" i="13"/>
  <c r="BZ144" i="13" s="1"/>
  <c r="BY218" i="13"/>
  <c r="BY97" i="13"/>
  <c r="BY232" i="13"/>
  <c r="BY225" i="13"/>
  <c r="BY215" i="13"/>
  <c r="BY214" i="13"/>
  <c r="BY34" i="13"/>
  <c r="BY124" i="13"/>
  <c r="BY217" i="13"/>
  <c r="BD100" i="13"/>
  <c r="BX232" i="13"/>
  <c r="BX166" i="13"/>
  <c r="BZ187" i="13"/>
  <c r="CC187" i="13"/>
  <c r="CA187" i="13"/>
  <c r="BX34" i="13"/>
  <c r="BX66" i="13"/>
  <c r="BX219" i="13"/>
  <c r="BZ46" i="13"/>
  <c r="CG46" i="13" s="1"/>
  <c r="BX167" i="13"/>
  <c r="BX223" i="13"/>
  <c r="BX111" i="13"/>
  <c r="BX214" i="13"/>
  <c r="BX123" i="13"/>
  <c r="BX110" i="13"/>
  <c r="BX220" i="13"/>
  <c r="BX124" i="13"/>
  <c r="BX35" i="13"/>
  <c r="AB223" i="13"/>
  <c r="AJ223" i="13" s="1"/>
  <c r="BX152" i="13"/>
  <c r="BX153" i="13"/>
  <c r="BZ103" i="13"/>
  <c r="CC103" i="13"/>
  <c r="CA103" i="13"/>
  <c r="BX224" i="13"/>
  <c r="BX222" i="13"/>
  <c r="BX67" i="13"/>
  <c r="BX225" i="13"/>
  <c r="BX215" i="13"/>
  <c r="BX36" i="13"/>
  <c r="BX221" i="13"/>
  <c r="BX231" i="13"/>
  <c r="BX217" i="13"/>
  <c r="BX37" i="13"/>
  <c r="BX197" i="13"/>
  <c r="BX218" i="13"/>
  <c r="D87" i="16"/>
  <c r="AA204" i="13"/>
  <c r="BJ204" i="13"/>
  <c r="BK204" i="13" s="1"/>
  <c r="W199" i="5" s="1"/>
  <c r="W200" i="21" s="1"/>
  <c r="BG204" i="13"/>
  <c r="BH204" i="13" s="1"/>
  <c r="P199" i="5" s="1"/>
  <c r="P200" i="21" s="1"/>
  <c r="AB220" i="13"/>
  <c r="AK220" i="13" s="1"/>
  <c r="BG100" i="13"/>
  <c r="BH100" i="13" s="1"/>
  <c r="P95" i="5" s="1"/>
  <c r="BD107" i="13"/>
  <c r="BE107" i="13" s="1"/>
  <c r="BG107" i="13"/>
  <c r="BH107" i="13" s="1"/>
  <c r="BJ107" i="13"/>
  <c r="BK107" i="13" s="1"/>
  <c r="BD115" i="13"/>
  <c r="BJ115" i="13"/>
  <c r="BK115" i="13" s="1"/>
  <c r="W107" i="5" s="1"/>
  <c r="BG115" i="13"/>
  <c r="BH115" i="13" s="1"/>
  <c r="P107" i="5" s="1"/>
  <c r="BD159" i="13"/>
  <c r="BE159" i="13" s="1"/>
  <c r="BJ159" i="13"/>
  <c r="BK159" i="13" s="1"/>
  <c r="BG159" i="13"/>
  <c r="BH159" i="13" s="1"/>
  <c r="BD169" i="13"/>
  <c r="BG169" i="13"/>
  <c r="BH169" i="13" s="1"/>
  <c r="P163" i="5" s="1"/>
  <c r="BJ169" i="13"/>
  <c r="BK169" i="13" s="1"/>
  <c r="W163" i="5" s="1"/>
  <c r="BD171" i="13"/>
  <c r="BG171" i="13"/>
  <c r="BH171" i="13" s="1"/>
  <c r="P166" i="5" s="1"/>
  <c r="BJ171" i="13"/>
  <c r="BK171" i="13" s="1"/>
  <c r="W166" i="5" s="1"/>
  <c r="BD109" i="13"/>
  <c r="BE109" i="13" s="1"/>
  <c r="BJ109" i="13"/>
  <c r="BK109" i="13" s="1"/>
  <c r="BG109" i="13"/>
  <c r="BH109" i="13" s="1"/>
  <c r="BD121" i="13"/>
  <c r="BG121" i="13"/>
  <c r="BH121" i="13" s="1"/>
  <c r="P113" i="5" s="1"/>
  <c r="P112" i="21" s="1"/>
  <c r="BD164" i="13"/>
  <c r="BG164" i="13"/>
  <c r="BH164" i="13" s="1"/>
  <c r="P158" i="5" s="1"/>
  <c r="BJ164" i="13"/>
  <c r="BK164" i="13" s="1"/>
  <c r="W158" i="5" s="1"/>
  <c r="BD200" i="13"/>
  <c r="BJ200" i="13"/>
  <c r="BK200" i="13" s="1"/>
  <c r="W194" i="5" s="1"/>
  <c r="W195" i="21" s="1"/>
  <c r="BG200" i="13"/>
  <c r="BH200" i="13" s="1"/>
  <c r="P194" i="5" s="1"/>
  <c r="P195" i="21" s="1"/>
  <c r="D18" i="16"/>
  <c r="BD211" i="13"/>
  <c r="BG211" i="13"/>
  <c r="BH211" i="13" s="1"/>
  <c r="P205" i="5" s="1"/>
  <c r="P206" i="21" s="1"/>
  <c r="BJ211" i="13"/>
  <c r="BK211" i="13" s="1"/>
  <c r="W205" i="5" s="1"/>
  <c r="D8" i="16"/>
  <c r="D39" i="16"/>
  <c r="BD106" i="13"/>
  <c r="BE106" i="13" s="1"/>
  <c r="BG106" i="13"/>
  <c r="BH106" i="13" s="1"/>
  <c r="BJ106" i="13"/>
  <c r="BK106" i="13" s="1"/>
  <c r="AB218" i="13"/>
  <c r="AJ218" i="13" s="1"/>
  <c r="D19" i="16"/>
  <c r="D48" i="16"/>
  <c r="BD10" i="13"/>
  <c r="BJ10" i="13"/>
  <c r="BK10" i="13" s="1"/>
  <c r="W11" i="5" s="1"/>
  <c r="W11" i="21" s="1"/>
  <c r="BG10" i="13"/>
  <c r="BH10" i="13" s="1"/>
  <c r="D78" i="16"/>
  <c r="D54" i="16"/>
  <c r="BD108" i="13"/>
  <c r="BE108" i="13" s="1"/>
  <c r="BJ108" i="13"/>
  <c r="BK108" i="13" s="1"/>
  <c r="BG108" i="13"/>
  <c r="BH108" i="13" s="1"/>
  <c r="D98" i="16"/>
  <c r="D46" i="16"/>
  <c r="D23" i="16"/>
  <c r="W41" i="21" l="1"/>
  <c r="W40" i="21"/>
  <c r="I41" i="21"/>
  <c r="I40" i="21"/>
  <c r="P41" i="21"/>
  <c r="P40" i="21"/>
  <c r="BS253" i="13"/>
  <c r="L62" i="11"/>
  <c r="BT253" i="13"/>
  <c r="M62" i="11"/>
  <c r="BR253" i="13"/>
  <c r="K62" i="11"/>
  <c r="BR251" i="13"/>
  <c r="K76" i="11"/>
  <c r="BT255" i="13"/>
  <c r="M75" i="11"/>
  <c r="BJ252" i="13"/>
  <c r="M79" i="11"/>
  <c r="BS255" i="13"/>
  <c r="L75" i="11"/>
  <c r="BR255" i="13"/>
  <c r="K75" i="11"/>
  <c r="BG252" i="13"/>
  <c r="L79" i="11"/>
  <c r="W159" i="21"/>
  <c r="W58" i="21"/>
  <c r="W59" i="21"/>
  <c r="W61" i="21"/>
  <c r="W62" i="21"/>
  <c r="P58" i="21"/>
  <c r="P59" i="21"/>
  <c r="P61" i="21"/>
  <c r="P62" i="21"/>
  <c r="I19" i="3"/>
  <c r="W51" i="21"/>
  <c r="W52" i="21"/>
  <c r="W205" i="21"/>
  <c r="W206" i="21"/>
  <c r="P51" i="21"/>
  <c r="P52" i="21"/>
  <c r="P159" i="21"/>
  <c r="C62" i="5"/>
  <c r="D62" i="21" s="1"/>
  <c r="D60" i="21"/>
  <c r="C91" i="5"/>
  <c r="D91" i="21" s="1"/>
  <c r="D89" i="21"/>
  <c r="C190" i="5"/>
  <c r="D190" i="21" s="1"/>
  <c r="D188" i="21"/>
  <c r="U202" i="13"/>
  <c r="AA89" i="13"/>
  <c r="U86" i="13"/>
  <c r="AA86" i="13" s="1"/>
  <c r="AA48" i="13"/>
  <c r="AB48" i="13" s="1"/>
  <c r="F48" i="5" s="1"/>
  <c r="AC48" i="5" s="1"/>
  <c r="U46" i="13"/>
  <c r="AA46" i="13" s="1"/>
  <c r="AA165" i="13"/>
  <c r="U164" i="13"/>
  <c r="AA164" i="13" s="1"/>
  <c r="AA145" i="13"/>
  <c r="AB145" i="13" s="1"/>
  <c r="BB145" i="13" s="1"/>
  <c r="U144" i="13"/>
  <c r="AA144" i="13" s="1"/>
  <c r="AA152" i="13" s="1"/>
  <c r="U90" i="13"/>
  <c r="AA90" i="13" s="1"/>
  <c r="P113" i="21"/>
  <c r="P114" i="21"/>
  <c r="W180" i="21"/>
  <c r="W113" i="21"/>
  <c r="W114" i="21"/>
  <c r="P202" i="21"/>
  <c r="P205" i="21"/>
  <c r="P180" i="21"/>
  <c r="I180" i="21"/>
  <c r="W202" i="21"/>
  <c r="P90" i="21"/>
  <c r="P91" i="21"/>
  <c r="P125" i="21"/>
  <c r="I129" i="21"/>
  <c r="I90" i="21"/>
  <c r="I91" i="21"/>
  <c r="P129" i="21"/>
  <c r="W199" i="21"/>
  <c r="I110" i="21"/>
  <c r="I199" i="21"/>
  <c r="W108" i="21"/>
  <c r="W110" i="21"/>
  <c r="I83" i="21"/>
  <c r="I84" i="21"/>
  <c r="P199" i="21"/>
  <c r="P108" i="21"/>
  <c r="P110" i="21"/>
  <c r="W83" i="21"/>
  <c r="W84" i="21"/>
  <c r="W163" i="21"/>
  <c r="P163" i="21"/>
  <c r="W194" i="21"/>
  <c r="P95" i="21"/>
  <c r="P96" i="21"/>
  <c r="P83" i="21"/>
  <c r="P84" i="21"/>
  <c r="P170" i="21"/>
  <c r="P173" i="21"/>
  <c r="P194" i="21"/>
  <c r="W80" i="21"/>
  <c r="W81" i="21"/>
  <c r="P77" i="21"/>
  <c r="P78" i="21"/>
  <c r="P80" i="21"/>
  <c r="P81" i="21"/>
  <c r="W125" i="21"/>
  <c r="I77" i="21"/>
  <c r="I78" i="21"/>
  <c r="I177" i="21"/>
  <c r="I80" i="21"/>
  <c r="I81" i="21"/>
  <c r="W129" i="21"/>
  <c r="W177" i="21"/>
  <c r="I170" i="21"/>
  <c r="W90" i="21"/>
  <c r="W91" i="21"/>
  <c r="I125" i="21"/>
  <c r="P177" i="21"/>
  <c r="W170" i="21"/>
  <c r="W173" i="21"/>
  <c r="I25" i="3"/>
  <c r="BR252" i="13"/>
  <c r="BD252" i="13"/>
  <c r="AQ49" i="13"/>
  <c r="BC49" i="13" s="1"/>
  <c r="AP49" i="13"/>
  <c r="BB49" i="13" s="1"/>
  <c r="AA114" i="13"/>
  <c r="AB114" i="13" s="1"/>
  <c r="AB254" i="13" s="1"/>
  <c r="AP114" i="13"/>
  <c r="AQ114" i="13"/>
  <c r="BI251" i="13"/>
  <c r="BS251" i="13"/>
  <c r="BL251" i="13"/>
  <c r="BT251" i="13"/>
  <c r="BF251" i="13"/>
  <c r="BG238" i="13"/>
  <c r="BH238" i="13" s="1"/>
  <c r="P119" i="5" s="1"/>
  <c r="BS238" i="13"/>
  <c r="BJ238" i="13"/>
  <c r="BK238" i="13" s="1"/>
  <c r="W119" i="5" s="1"/>
  <c r="BT238" i="13"/>
  <c r="BD238" i="13"/>
  <c r="BE238" i="13" s="1"/>
  <c r="I119" i="5" s="1"/>
  <c r="BR238" i="13"/>
  <c r="AA94" i="13"/>
  <c r="AB94" i="13" s="1"/>
  <c r="AB93" i="13" s="1"/>
  <c r="I22" i="3"/>
  <c r="I21" i="3"/>
  <c r="AA84" i="13"/>
  <c r="AB84" i="13" s="1"/>
  <c r="AB83" i="13" s="1"/>
  <c r="AC187" i="5"/>
  <c r="AC132" i="5"/>
  <c r="AC153" i="5"/>
  <c r="AC184" i="5"/>
  <c r="AB39" i="21"/>
  <c r="W20" i="21"/>
  <c r="AC196" i="5"/>
  <c r="AF193" i="21"/>
  <c r="AC39" i="5"/>
  <c r="F39" i="21"/>
  <c r="AF39" i="21" s="1"/>
  <c r="AC165" i="5"/>
  <c r="AF162" i="21"/>
  <c r="AC143" i="5"/>
  <c r="AC99" i="5"/>
  <c r="AC119" i="5"/>
  <c r="AB158" i="21"/>
  <c r="W77" i="21"/>
  <c r="S65" i="21"/>
  <c r="AB11" i="21"/>
  <c r="AB191" i="21"/>
  <c r="AB106" i="21"/>
  <c r="AB217" i="21"/>
  <c r="AB176" i="21"/>
  <c r="AB99" i="21"/>
  <c r="Y65" i="21"/>
  <c r="R65" i="21"/>
  <c r="AC255" i="5"/>
  <c r="U77" i="13"/>
  <c r="AK105" i="13"/>
  <c r="AK224" i="13"/>
  <c r="AI224" i="13"/>
  <c r="AK228" i="13"/>
  <c r="AI237" i="13"/>
  <c r="AI58" i="13" s="1"/>
  <c r="AK237" i="13"/>
  <c r="AK58" i="13" s="1"/>
  <c r="AJ237" i="13"/>
  <c r="AJ58" i="13" s="1"/>
  <c r="AI127" i="13"/>
  <c r="AK127" i="13"/>
  <c r="AJ127" i="13"/>
  <c r="AI137" i="13"/>
  <c r="AK137" i="13"/>
  <c r="AJ137" i="13"/>
  <c r="AK157" i="13"/>
  <c r="AJ157" i="13"/>
  <c r="AI157" i="13"/>
  <c r="AK73" i="13"/>
  <c r="M63" i="11" s="1"/>
  <c r="AJ73" i="13"/>
  <c r="L63" i="11" s="1"/>
  <c r="AI73" i="13"/>
  <c r="K63" i="11" s="1"/>
  <c r="AJ190" i="13"/>
  <c r="AI190" i="13"/>
  <c r="AK190" i="13"/>
  <c r="AI85" i="13"/>
  <c r="AJ85" i="13"/>
  <c r="AK85" i="13"/>
  <c r="AJ53" i="13"/>
  <c r="AI53" i="13"/>
  <c r="AK53" i="13"/>
  <c r="AJ226" i="13"/>
  <c r="AJ228" i="13"/>
  <c r="AI105" i="13"/>
  <c r="AK139" i="13"/>
  <c r="AJ139" i="13"/>
  <c r="AI139" i="13"/>
  <c r="AI101" i="13"/>
  <c r="BR101" i="13" s="1"/>
  <c r="AK101" i="13"/>
  <c r="BT101" i="13" s="1"/>
  <c r="AJ101" i="13"/>
  <c r="BS101" i="13" s="1"/>
  <c r="AI14" i="13"/>
  <c r="AJ14" i="13"/>
  <c r="AK14" i="13"/>
  <c r="AK151" i="13"/>
  <c r="AI151" i="13"/>
  <c r="AJ151" i="13"/>
  <c r="AK136" i="13"/>
  <c r="AI136" i="13"/>
  <c r="AJ136" i="13"/>
  <c r="AJ74" i="13"/>
  <c r="AI74" i="13"/>
  <c r="AK74" i="13"/>
  <c r="AK52" i="13"/>
  <c r="AK70" i="13" s="1"/>
  <c r="AJ52" i="13"/>
  <c r="AJ70" i="13" s="1"/>
  <c r="AI52" i="13"/>
  <c r="AI220" i="13"/>
  <c r="AK223" i="13"/>
  <c r="AK218" i="13"/>
  <c r="AI240" i="13"/>
  <c r="BD240" i="13" s="1"/>
  <c r="AK240" i="13"/>
  <c r="BJ240" i="13" s="1"/>
  <c r="AJ240" i="13"/>
  <c r="BG240" i="13" s="1"/>
  <c r="AK18" i="13"/>
  <c r="AI18" i="13"/>
  <c r="AJ18" i="13"/>
  <c r="AJ135" i="13"/>
  <c r="AI135" i="13"/>
  <c r="AK135" i="13"/>
  <c r="AK188" i="13"/>
  <c r="AI188" i="13"/>
  <c r="AJ188" i="13"/>
  <c r="AI40" i="13"/>
  <c r="AK40" i="13"/>
  <c r="AJ40" i="13"/>
  <c r="AI242" i="13"/>
  <c r="AK242" i="13"/>
  <c r="AJ242" i="13"/>
  <c r="AI193" i="13"/>
  <c r="AK193" i="13"/>
  <c r="AJ193" i="13"/>
  <c r="AJ122" i="13"/>
  <c r="AJ121" i="13" s="1"/>
  <c r="AK122" i="13"/>
  <c r="AK121" i="13" s="1"/>
  <c r="AI122" i="13"/>
  <c r="AI121" i="13" s="1"/>
  <c r="AK161" i="13"/>
  <c r="AK160" i="13" s="1"/>
  <c r="AI161" i="13"/>
  <c r="AI160" i="13" s="1"/>
  <c r="AJ161" i="13"/>
  <c r="AJ160" i="13" s="1"/>
  <c r="AK78" i="13"/>
  <c r="AJ78" i="13"/>
  <c r="AI78" i="13"/>
  <c r="AJ220" i="13"/>
  <c r="AK226" i="13"/>
  <c r="AK54" i="13"/>
  <c r="AI54" i="13"/>
  <c r="AJ54" i="13"/>
  <c r="AJ244" i="13"/>
  <c r="AI244" i="13"/>
  <c r="AK244" i="13"/>
  <c r="AJ129" i="13"/>
  <c r="BS129" i="13" s="1"/>
  <c r="AI129" i="13"/>
  <c r="BR129" i="13" s="1"/>
  <c r="AK129" i="13"/>
  <c r="BT129" i="13" s="1"/>
  <c r="AI12" i="13"/>
  <c r="K54" i="11" s="1"/>
  <c r="AK12" i="13"/>
  <c r="M54" i="11" s="1"/>
  <c r="AJ12" i="13"/>
  <c r="L54" i="11" s="1"/>
  <c r="AK17" i="13"/>
  <c r="AI17" i="13"/>
  <c r="AJ17" i="13"/>
  <c r="AK133" i="13"/>
  <c r="AJ133" i="13"/>
  <c r="AI133" i="13"/>
  <c r="AI72" i="13"/>
  <c r="AK72" i="13"/>
  <c r="AJ72" i="13"/>
  <c r="AK61" i="13"/>
  <c r="AI61" i="13"/>
  <c r="AJ61" i="13"/>
  <c r="AI223" i="13"/>
  <c r="AI191" i="13"/>
  <c r="AK194" i="13"/>
  <c r="AK196" i="13"/>
  <c r="AK195" i="13"/>
  <c r="AI245" i="13"/>
  <c r="AK245" i="13"/>
  <c r="AJ245" i="13"/>
  <c r="AK27" i="13"/>
  <c r="BJ27" i="13" s="1"/>
  <c r="AJ27" i="13"/>
  <c r="BG27" i="13" s="1"/>
  <c r="AI27" i="13"/>
  <c r="BD27" i="13" s="1"/>
  <c r="AI180" i="13"/>
  <c r="AK180" i="13"/>
  <c r="AJ180" i="13"/>
  <c r="AI11" i="13"/>
  <c r="AK11" i="13"/>
  <c r="AJ11" i="13"/>
  <c r="AJ57" i="13"/>
  <c r="AK57" i="13"/>
  <c r="AI57" i="13"/>
  <c r="AJ71" i="13"/>
  <c r="AI71" i="13"/>
  <c r="AK71" i="13"/>
  <c r="AI102" i="13"/>
  <c r="BR102" i="13" s="1"/>
  <c r="AJ102" i="13"/>
  <c r="BS102" i="13" s="1"/>
  <c r="AK102" i="13"/>
  <c r="BT102" i="13" s="1"/>
  <c r="AJ163" i="13"/>
  <c r="AI163" i="13"/>
  <c r="AK163" i="13"/>
  <c r="AK32" i="13"/>
  <c r="AJ32" i="13"/>
  <c r="AI32" i="13"/>
  <c r="AI119" i="13"/>
  <c r="AK119" i="13"/>
  <c r="AJ119" i="13"/>
  <c r="AJ76" i="13"/>
  <c r="AI76" i="13"/>
  <c r="AK76" i="13"/>
  <c r="AI230" i="13"/>
  <c r="AI218" i="13"/>
  <c r="AJ191" i="13"/>
  <c r="AI195" i="13"/>
  <c r="AI196" i="13"/>
  <c r="AI194" i="13"/>
  <c r="AI241" i="13"/>
  <c r="AK241" i="13"/>
  <c r="AJ241" i="13"/>
  <c r="AI132" i="13"/>
  <c r="AK132" i="13"/>
  <c r="AJ132" i="13"/>
  <c r="AK147" i="13"/>
  <c r="BT147" i="13" s="1"/>
  <c r="AJ147" i="13"/>
  <c r="BS147" i="13" s="1"/>
  <c r="AI147" i="13"/>
  <c r="BR147" i="13" s="1"/>
  <c r="AJ20" i="13"/>
  <c r="AI20" i="13"/>
  <c r="AK20" i="13"/>
  <c r="AK22" i="13"/>
  <c r="M55" i="11" s="1"/>
  <c r="AJ22" i="13"/>
  <c r="L55" i="11" s="1"/>
  <c r="AI22" i="13"/>
  <c r="K55" i="11" s="1"/>
  <c r="AI128" i="13"/>
  <c r="BR128" i="13" s="1"/>
  <c r="AK128" i="13"/>
  <c r="BT128" i="13" s="1"/>
  <c r="AJ128" i="13"/>
  <c r="BS128" i="13" s="1"/>
  <c r="AI15" i="13"/>
  <c r="AK15" i="13"/>
  <c r="AJ15" i="13"/>
  <c r="AJ24" i="13"/>
  <c r="BS24" i="13" s="1"/>
  <c r="AK24" i="13"/>
  <c r="BT24" i="13" s="1"/>
  <c r="AI24" i="13"/>
  <c r="BR24" i="13" s="1"/>
  <c r="AK149" i="13"/>
  <c r="AJ149" i="13"/>
  <c r="AI149" i="13"/>
  <c r="AJ23" i="13"/>
  <c r="L56" i="11" s="1"/>
  <c r="AI23" i="13"/>
  <c r="K56" i="11" s="1"/>
  <c r="AK23" i="13"/>
  <c r="M56" i="11" s="1"/>
  <c r="AJ28" i="13"/>
  <c r="AI28" i="13"/>
  <c r="AK28" i="13"/>
  <c r="AJ230" i="13"/>
  <c r="AK191" i="13"/>
  <c r="AJ194" i="13"/>
  <c r="AJ196" i="13"/>
  <c r="AJ195" i="13"/>
  <c r="AJ60" i="13"/>
  <c r="AI60" i="13"/>
  <c r="AK60" i="13"/>
  <c r="AJ239" i="13"/>
  <c r="AI239" i="13"/>
  <c r="AK239" i="13"/>
  <c r="AK120" i="13"/>
  <c r="AJ120" i="13"/>
  <c r="AI120" i="13"/>
  <c r="AI25" i="13"/>
  <c r="BR25" i="13" s="1"/>
  <c r="AK25" i="13"/>
  <c r="BT25" i="13" s="1"/>
  <c r="AJ25" i="13"/>
  <c r="BS25" i="13" s="1"/>
  <c r="AJ131" i="13"/>
  <c r="AK131" i="13"/>
  <c r="AJ33" i="13"/>
  <c r="AI33" i="13"/>
  <c r="AK33" i="13"/>
  <c r="AI114" i="13"/>
  <c r="AK114" i="13"/>
  <c r="AJ114" i="13"/>
  <c r="AI222" i="13"/>
  <c r="AK43" i="13"/>
  <c r="AK42" i="13"/>
  <c r="AK45" i="13"/>
  <c r="AK44" i="13"/>
  <c r="AI13" i="13"/>
  <c r="AK13" i="13"/>
  <c r="AJ13" i="13"/>
  <c r="AI172" i="13"/>
  <c r="AK172" i="13"/>
  <c r="AJ172" i="13"/>
  <c r="AI209" i="13"/>
  <c r="AK209" i="13"/>
  <c r="AJ209" i="13"/>
  <c r="AJ116" i="13"/>
  <c r="AJ115" i="13" s="1"/>
  <c r="AI116" i="13"/>
  <c r="AI115" i="13" s="1"/>
  <c r="AK116" i="13"/>
  <c r="AK115" i="13" s="1"/>
  <c r="AK31" i="13"/>
  <c r="AJ31" i="13"/>
  <c r="AI31" i="13"/>
  <c r="AJ222" i="13"/>
  <c r="AI43" i="13"/>
  <c r="AI44" i="13"/>
  <c r="AI42" i="13"/>
  <c r="AI45" i="13"/>
  <c r="AK29" i="13"/>
  <c r="AI29" i="13"/>
  <c r="AJ29" i="13"/>
  <c r="AJ158" i="13"/>
  <c r="AI158" i="13"/>
  <c r="AK158" i="13"/>
  <c r="AI21" i="13"/>
  <c r="AK21" i="13"/>
  <c r="AJ21" i="13"/>
  <c r="AJ150" i="13"/>
  <c r="AI150" i="13"/>
  <c r="AK150" i="13"/>
  <c r="AK156" i="13"/>
  <c r="BT156" i="13" s="1"/>
  <c r="AJ156" i="13"/>
  <c r="BS156" i="13" s="1"/>
  <c r="AI156" i="13"/>
  <c r="BR156" i="13" s="1"/>
  <c r="AK146" i="13"/>
  <c r="BT146" i="13" s="1"/>
  <c r="AI146" i="13"/>
  <c r="BR146" i="13" s="1"/>
  <c r="AJ146" i="13"/>
  <c r="BS146" i="13" s="1"/>
  <c r="AJ64" i="13"/>
  <c r="AI64" i="13"/>
  <c r="AK64" i="13"/>
  <c r="AA202" i="13"/>
  <c r="AJ43" i="13"/>
  <c r="AJ42" i="13"/>
  <c r="AJ45" i="13"/>
  <c r="AJ44" i="13"/>
  <c r="AI88" i="13"/>
  <c r="AK88" i="13"/>
  <c r="AJ88" i="13"/>
  <c r="AJ87" i="13"/>
  <c r="AI87" i="13"/>
  <c r="AK87" i="13"/>
  <c r="AI118" i="13"/>
  <c r="AK118" i="13"/>
  <c r="AJ118" i="13"/>
  <c r="AK47" i="13"/>
  <c r="AJ47" i="13"/>
  <c r="AI47" i="13"/>
  <c r="AJ184" i="13"/>
  <c r="AI184" i="13"/>
  <c r="AK184" i="13"/>
  <c r="AJ105" i="13"/>
  <c r="AA205" i="13"/>
  <c r="AB205" i="13" s="1"/>
  <c r="AA213" i="13"/>
  <c r="AE40" i="13"/>
  <c r="F155" i="5"/>
  <c r="BB163" i="13"/>
  <c r="F169" i="5"/>
  <c r="F108" i="5"/>
  <c r="AA203" i="13"/>
  <c r="F150" i="21"/>
  <c r="AF150" i="21" s="1"/>
  <c r="F110" i="5"/>
  <c r="AA91" i="13"/>
  <c r="AB91" i="13" s="1"/>
  <c r="AA92" i="13"/>
  <c r="AB92" i="13" s="1"/>
  <c r="F89" i="5" s="1"/>
  <c r="F188" i="5"/>
  <c r="F188" i="21" s="1"/>
  <c r="F49" i="5"/>
  <c r="F57" i="5"/>
  <c r="CG95" i="13"/>
  <c r="AA80" i="13"/>
  <c r="AB80" i="13" s="1"/>
  <c r="F60" i="5"/>
  <c r="F42" i="5"/>
  <c r="F134" i="5"/>
  <c r="AF40" i="13"/>
  <c r="F144" i="5"/>
  <c r="F144" i="21" s="1"/>
  <c r="AF144" i="21" s="1"/>
  <c r="F67" i="5"/>
  <c r="F176" i="5"/>
  <c r="F56" i="5"/>
  <c r="F167" i="5"/>
  <c r="F135" i="5"/>
  <c r="F139" i="5"/>
  <c r="AQ32" i="13"/>
  <c r="BC32" i="13" s="1"/>
  <c r="AP32" i="13"/>
  <c r="BB32" i="13" s="1"/>
  <c r="F68" i="5"/>
  <c r="F114" i="5"/>
  <c r="F140" i="5"/>
  <c r="F182" i="5"/>
  <c r="F34" i="5"/>
  <c r="BC181" i="13"/>
  <c r="AB63" i="13"/>
  <c r="AB113" i="13"/>
  <c r="BC157" i="13"/>
  <c r="F151" i="5"/>
  <c r="F85" i="5"/>
  <c r="F142" i="5"/>
  <c r="F143" i="21" s="1"/>
  <c r="AB189" i="13"/>
  <c r="F185" i="5"/>
  <c r="F185" i="21" s="1"/>
  <c r="Y219" i="13"/>
  <c r="F50" i="5"/>
  <c r="AG40" i="13"/>
  <c r="AB103" i="13"/>
  <c r="AB162" i="13"/>
  <c r="F98" i="16"/>
  <c r="I98" i="16" s="1"/>
  <c r="F212" i="5"/>
  <c r="F189" i="5"/>
  <c r="AB56" i="13"/>
  <c r="Y201" i="13"/>
  <c r="AA201" i="13" s="1"/>
  <c r="F29" i="5"/>
  <c r="F30" i="5"/>
  <c r="F12" i="5"/>
  <c r="AC12" i="5" s="1"/>
  <c r="F19" i="5"/>
  <c r="AB69" i="13"/>
  <c r="BC151" i="13"/>
  <c r="BB151" i="13"/>
  <c r="AB187" i="13"/>
  <c r="BC188" i="13"/>
  <c r="BB188" i="13"/>
  <c r="AB160" i="13"/>
  <c r="BC161" i="13"/>
  <c r="BB161" i="13"/>
  <c r="AB115" i="13"/>
  <c r="AB121" i="13"/>
  <c r="AB46" i="13"/>
  <c r="BC150" i="13"/>
  <c r="BB150" i="13"/>
  <c r="BC142" i="13"/>
  <c r="BB142" i="13"/>
  <c r="BB156" i="13"/>
  <c r="BA156" i="13"/>
  <c r="BC156" i="13"/>
  <c r="AB148" i="13"/>
  <c r="F125" i="5"/>
  <c r="AB130" i="13"/>
  <c r="BC163" i="13"/>
  <c r="AB165" i="13"/>
  <c r="AB59" i="13"/>
  <c r="BC102" i="13"/>
  <c r="AB225" i="13"/>
  <c r="BB102" i="13"/>
  <c r="AB89" i="13"/>
  <c r="D104" i="16"/>
  <c r="F104" i="16" s="1"/>
  <c r="AB227" i="13"/>
  <c r="D106" i="16"/>
  <c r="F106" i="16" s="1"/>
  <c r="AB192" i="13"/>
  <c r="D86" i="16"/>
  <c r="D94" i="16"/>
  <c r="AB100" i="13"/>
  <c r="D52" i="16"/>
  <c r="D96" i="16"/>
  <c r="AB179" i="13"/>
  <c r="BC173" i="13"/>
  <c r="BB173" i="13"/>
  <c r="BA173" i="13"/>
  <c r="BS252" i="13"/>
  <c r="BT252" i="13"/>
  <c r="BE10" i="13"/>
  <c r="P11" i="5" s="1"/>
  <c r="P11" i="21" s="1"/>
  <c r="AB117" i="13"/>
  <c r="BG234" i="13"/>
  <c r="BD234" i="13"/>
  <c r="BK234" i="13"/>
  <c r="W39" i="5" s="1"/>
  <c r="W39" i="21" s="1"/>
  <c r="F203" i="5"/>
  <c r="BK246" i="13"/>
  <c r="W99" i="5" s="1"/>
  <c r="BH246" i="13"/>
  <c r="P99" i="5" s="1"/>
  <c r="BE246" i="13"/>
  <c r="I99" i="5" s="1"/>
  <c r="BE248" i="13"/>
  <c r="I187" i="5" s="1"/>
  <c r="BE247" i="13"/>
  <c r="I184" i="5" s="1"/>
  <c r="BH248" i="13"/>
  <c r="P187" i="5" s="1"/>
  <c r="BH247" i="13"/>
  <c r="P184" i="5" s="1"/>
  <c r="BK248" i="13"/>
  <c r="W187" i="5" s="1"/>
  <c r="BK247" i="13"/>
  <c r="W184" i="5" s="1"/>
  <c r="AB138" i="13"/>
  <c r="AB134" i="13"/>
  <c r="AB183" i="13"/>
  <c r="AB30" i="13"/>
  <c r="AB175" i="13"/>
  <c r="AB171" i="13"/>
  <c r="AB155" i="13"/>
  <c r="AB126" i="13"/>
  <c r="AB51" i="13"/>
  <c r="AB10" i="13"/>
  <c r="AB26" i="13"/>
  <c r="AB19" i="13"/>
  <c r="AB16" i="13"/>
  <c r="AB206" i="13"/>
  <c r="AB170" i="13"/>
  <c r="AB212" i="13"/>
  <c r="BE249" i="13"/>
  <c r="I196" i="5" s="1"/>
  <c r="BK249" i="13"/>
  <c r="W196" i="5" s="1"/>
  <c r="BH249" i="13"/>
  <c r="P196" i="5" s="1"/>
  <c r="AB41" i="13"/>
  <c r="AK41" i="13" s="1"/>
  <c r="F25" i="5"/>
  <c r="BC158" i="13"/>
  <c r="BB158" i="13"/>
  <c r="BA128" i="13"/>
  <c r="BC128" i="13"/>
  <c r="BB128" i="13"/>
  <c r="BG15" i="13"/>
  <c r="BJ15" i="13"/>
  <c r="F16" i="5"/>
  <c r="BD15" i="13"/>
  <c r="F24" i="5"/>
  <c r="AA123" i="13"/>
  <c r="F13" i="5"/>
  <c r="F21" i="5"/>
  <c r="F22" i="5"/>
  <c r="F23" i="5"/>
  <c r="F14" i="5"/>
  <c r="F28" i="5"/>
  <c r="F180" i="5"/>
  <c r="F112" i="5"/>
  <c r="F76" i="5"/>
  <c r="F96" i="5"/>
  <c r="F54" i="5"/>
  <c r="F44" i="5"/>
  <c r="D43" i="16"/>
  <c r="F152" i="5"/>
  <c r="F53" i="5"/>
  <c r="AA36" i="13"/>
  <c r="F59" i="5"/>
  <c r="F171" i="5"/>
  <c r="F133" i="5"/>
  <c r="F133" i="21" s="1"/>
  <c r="F179" i="5"/>
  <c r="AA66" i="13"/>
  <c r="F168" i="5"/>
  <c r="D68" i="16"/>
  <c r="F172" i="5"/>
  <c r="F43" i="5"/>
  <c r="F45" i="5"/>
  <c r="F121" i="5"/>
  <c r="F129" i="5"/>
  <c r="D75" i="16"/>
  <c r="F190" i="5"/>
  <c r="F111" i="5"/>
  <c r="F224" i="5"/>
  <c r="F120" i="5"/>
  <c r="BE200" i="13"/>
  <c r="I194" i="5" s="1"/>
  <c r="I195" i="21" s="1"/>
  <c r="BE211" i="13"/>
  <c r="I205" i="5" s="1"/>
  <c r="I206" i="21" s="1"/>
  <c r="BE192" i="13"/>
  <c r="I186" i="5" s="1"/>
  <c r="I186" i="21" s="1"/>
  <c r="BE171" i="13"/>
  <c r="I166" i="5" s="1"/>
  <c r="BE169" i="13"/>
  <c r="I163" i="5" s="1"/>
  <c r="BE164" i="13"/>
  <c r="I158" i="5" s="1"/>
  <c r="I141" i="5"/>
  <c r="BE130" i="13"/>
  <c r="I122" i="5" s="1"/>
  <c r="BE115" i="13"/>
  <c r="I107" i="5" s="1"/>
  <c r="BE121" i="13"/>
  <c r="I113" i="5" s="1"/>
  <c r="I112" i="21" s="1"/>
  <c r="BE100" i="13"/>
  <c r="I95" i="5" s="1"/>
  <c r="F254" i="5"/>
  <c r="AC254" i="5" s="1"/>
  <c r="F245" i="5"/>
  <c r="F127" i="5"/>
  <c r="F246" i="5"/>
  <c r="AC246" i="5" s="1"/>
  <c r="F131" i="5"/>
  <c r="F247" i="5"/>
  <c r="F253" i="5"/>
  <c r="F174" i="5"/>
  <c r="F256" i="5"/>
  <c r="AC256" i="5" s="1"/>
  <c r="F178" i="5"/>
  <c r="F250" i="5"/>
  <c r="F123" i="5"/>
  <c r="F251" i="5"/>
  <c r="BD220" i="13"/>
  <c r="BJ226" i="13"/>
  <c r="BK226" i="13" s="1"/>
  <c r="W220" i="5" s="1"/>
  <c r="BG228" i="13"/>
  <c r="BH228" i="13" s="1"/>
  <c r="P222" i="5" s="1"/>
  <c r="BD223" i="13"/>
  <c r="AA110" i="13"/>
  <c r="I58" i="5"/>
  <c r="I51" i="5"/>
  <c r="I52" i="21" s="1"/>
  <c r="BD69" i="13"/>
  <c r="AB229" i="13"/>
  <c r="AB34" i="13"/>
  <c r="D102" i="16"/>
  <c r="F102" i="16" s="1"/>
  <c r="I102" i="16" s="1"/>
  <c r="AB217" i="13"/>
  <c r="F222" i="5"/>
  <c r="AA166" i="13"/>
  <c r="F220" i="5"/>
  <c r="BZ90" i="13"/>
  <c r="CC51" i="13"/>
  <c r="BZ83" i="13"/>
  <c r="CG83" i="13" s="1"/>
  <c r="CC121" i="13"/>
  <c r="BZ121" i="13"/>
  <c r="CC169" i="13"/>
  <c r="CC179" i="13"/>
  <c r="BZ179" i="13"/>
  <c r="BZ169" i="13"/>
  <c r="CC69" i="13"/>
  <c r="BZ69" i="13"/>
  <c r="CC79" i="13"/>
  <c r="CC55" i="13"/>
  <c r="CA134" i="13"/>
  <c r="CC108" i="13"/>
  <c r="BZ108" i="13"/>
  <c r="CA90" i="13"/>
  <c r="CC39" i="13"/>
  <c r="CA30" i="13"/>
  <c r="CA159" i="13"/>
  <c r="CA106" i="13"/>
  <c r="CA107" i="13"/>
  <c r="CA62" i="13"/>
  <c r="CC62" i="13"/>
  <c r="BZ171" i="13"/>
  <c r="F97" i="16"/>
  <c r="I97" i="16" s="1"/>
  <c r="CC107" i="13"/>
  <c r="CA171" i="13"/>
  <c r="CA109" i="13"/>
  <c r="CA56" i="13"/>
  <c r="BZ19" i="13"/>
  <c r="CA65" i="13"/>
  <c r="BZ100" i="13"/>
  <c r="CA16" i="13"/>
  <c r="BZ200" i="13"/>
  <c r="CG200" i="13" s="1"/>
  <c r="CC56" i="13"/>
  <c r="CC204" i="13"/>
  <c r="CC109" i="13"/>
  <c r="CA113" i="13"/>
  <c r="CC160" i="13"/>
  <c r="CC26" i="13"/>
  <c r="CC138" i="13"/>
  <c r="CC59" i="13"/>
  <c r="CA126" i="13"/>
  <c r="BZ160" i="13"/>
  <c r="BZ26" i="13"/>
  <c r="CA155" i="13"/>
  <c r="CA59" i="13"/>
  <c r="CC183" i="13"/>
  <c r="CA183" i="13"/>
  <c r="CC82" i="13"/>
  <c r="CA82" i="13"/>
  <c r="BZ208" i="13"/>
  <c r="CG208" i="13" s="1"/>
  <c r="BZ65" i="13"/>
  <c r="CC19" i="13"/>
  <c r="CC100" i="13"/>
  <c r="BZ115" i="13"/>
  <c r="CG115" i="13" s="1"/>
  <c r="CC16" i="13"/>
  <c r="CC95" i="13"/>
  <c r="CC10" i="13"/>
  <c r="CA10" i="13"/>
  <c r="CC75" i="13"/>
  <c r="CC86" i="13"/>
  <c r="BZ93" i="13"/>
  <c r="CG93" i="13" s="1"/>
  <c r="CA86" i="13"/>
  <c r="CA96" i="13"/>
  <c r="CA207" i="13"/>
  <c r="BZ164" i="13"/>
  <c r="BZ63" i="13"/>
  <c r="CC207" i="13"/>
  <c r="CC96" i="13"/>
  <c r="CC211" i="13"/>
  <c r="CA164" i="13"/>
  <c r="CC63" i="13"/>
  <c r="CC117" i="13"/>
  <c r="F45" i="16"/>
  <c r="I45" i="16" s="1"/>
  <c r="BG65" i="13"/>
  <c r="BH65" i="13" s="1"/>
  <c r="BJ65" i="13"/>
  <c r="BK65" i="13" s="1"/>
  <c r="F25" i="16"/>
  <c r="I25" i="16" s="1"/>
  <c r="BZ98" i="13"/>
  <c r="CC98" i="13"/>
  <c r="CA97" i="13"/>
  <c r="CC97" i="13"/>
  <c r="F100" i="16"/>
  <c r="I100" i="16" s="1"/>
  <c r="F217" i="5"/>
  <c r="F214" i="5"/>
  <c r="BZ198" i="13"/>
  <c r="CC198" i="13"/>
  <c r="CG79" i="13"/>
  <c r="CA144" i="13"/>
  <c r="CC144" i="13"/>
  <c r="F32" i="16"/>
  <c r="I32" i="16" s="1"/>
  <c r="BZ35" i="13"/>
  <c r="CC35" i="13"/>
  <c r="CA35" i="13"/>
  <c r="BZ167" i="13"/>
  <c r="CC167" i="13"/>
  <c r="CA167" i="13"/>
  <c r="BZ153" i="13"/>
  <c r="CC153" i="13"/>
  <c r="CA153" i="13"/>
  <c r="BZ124" i="13"/>
  <c r="CA124" i="13"/>
  <c r="CC124" i="13"/>
  <c r="BZ214" i="13"/>
  <c r="CA214" i="13"/>
  <c r="CC214" i="13"/>
  <c r="BZ217" i="13"/>
  <c r="CC217" i="13"/>
  <c r="CA217" i="13"/>
  <c r="BZ123" i="13"/>
  <c r="CA123" i="13"/>
  <c r="CC123" i="13"/>
  <c r="BZ221" i="13"/>
  <c r="CA221" i="13"/>
  <c r="CC221" i="13"/>
  <c r="BZ67" i="13"/>
  <c r="CC67" i="13"/>
  <c r="CA67" i="13"/>
  <c r="BZ152" i="13"/>
  <c r="CC152" i="13"/>
  <c r="CA152" i="13"/>
  <c r="BZ166" i="13"/>
  <c r="CA166" i="13"/>
  <c r="CC166" i="13"/>
  <c r="BZ222" i="13"/>
  <c r="CA222" i="13"/>
  <c r="CC222" i="13"/>
  <c r="BZ110" i="13"/>
  <c r="CA110" i="13"/>
  <c r="CC110" i="13"/>
  <c r="CA232" i="13"/>
  <c r="BZ232" i="13"/>
  <c r="CC232" i="13"/>
  <c r="BZ224" i="13"/>
  <c r="CA224" i="13"/>
  <c r="CC224" i="13"/>
  <c r="BZ218" i="13"/>
  <c r="CA218" i="13"/>
  <c r="CC218" i="13"/>
  <c r="BZ231" i="13"/>
  <c r="CA231" i="13"/>
  <c r="CC231" i="13"/>
  <c r="BZ225" i="13"/>
  <c r="CC225" i="13"/>
  <c r="CA225" i="13"/>
  <c r="CA219" i="13"/>
  <c r="BZ219" i="13"/>
  <c r="CC219" i="13"/>
  <c r="BZ34" i="13"/>
  <c r="CC34" i="13"/>
  <c r="CA34" i="13"/>
  <c r="BZ215" i="13"/>
  <c r="CA215" i="13"/>
  <c r="CC215" i="13"/>
  <c r="BZ197" i="13"/>
  <c r="CA197" i="13"/>
  <c r="CC197" i="13"/>
  <c r="BZ220" i="13"/>
  <c r="CA220" i="13"/>
  <c r="CC220" i="13"/>
  <c r="BZ111" i="13"/>
  <c r="CC111" i="13"/>
  <c r="CA111" i="13"/>
  <c r="CC66" i="13"/>
  <c r="BZ66" i="13"/>
  <c r="CA66" i="13"/>
  <c r="BZ37" i="13"/>
  <c r="CA37" i="13"/>
  <c r="CC37" i="13"/>
  <c r="BZ36" i="13"/>
  <c r="CC36" i="13"/>
  <c r="CA36" i="13"/>
  <c r="CA223" i="13"/>
  <c r="CC223" i="13"/>
  <c r="BZ223" i="13"/>
  <c r="F215" i="5"/>
  <c r="F95" i="16"/>
  <c r="I95" i="16" s="1"/>
  <c r="F20" i="16"/>
  <c r="I20" i="16" s="1"/>
  <c r="F47" i="16"/>
  <c r="I47" i="16" s="1"/>
  <c r="F218" i="5"/>
  <c r="F101" i="16"/>
  <c r="I101" i="16" s="1"/>
  <c r="F48" i="16"/>
  <c r="I48" i="16" s="1"/>
  <c r="F13" i="16"/>
  <c r="I13" i="16" s="1"/>
  <c r="F88" i="16"/>
  <c r="I88" i="16" s="1"/>
  <c r="BJ96" i="13"/>
  <c r="BK96" i="13" s="1"/>
  <c r="BG96" i="13"/>
  <c r="BH96" i="13" s="1"/>
  <c r="F39" i="16"/>
  <c r="I39" i="16" s="1"/>
  <c r="F38" i="16"/>
  <c r="I38" i="16" s="1"/>
  <c r="F99" i="16"/>
  <c r="I99" i="16" s="1"/>
  <c r="F216" i="5"/>
  <c r="F23" i="16"/>
  <c r="I23" i="16" s="1"/>
  <c r="F46" i="16"/>
  <c r="I46" i="16" s="1"/>
  <c r="BD155" i="13"/>
  <c r="BE155" i="13" s="1"/>
  <c r="F69" i="16"/>
  <c r="I69" i="16" s="1"/>
  <c r="BS242" i="13" l="1"/>
  <c r="BT242" i="13"/>
  <c r="BR242" i="13"/>
  <c r="BT150" i="13"/>
  <c r="M71" i="11"/>
  <c r="BR150" i="13"/>
  <c r="K71" i="11"/>
  <c r="BS150" i="13"/>
  <c r="L71" i="11"/>
  <c r="BT239" i="13"/>
  <c r="M69" i="11"/>
  <c r="AJ187" i="13"/>
  <c r="BG187" i="13" s="1"/>
  <c r="BH187" i="13" s="1"/>
  <c r="P181" i="5" s="1"/>
  <c r="P181" i="21" s="1"/>
  <c r="L83" i="11"/>
  <c r="BS151" i="13"/>
  <c r="L72" i="11"/>
  <c r="BR239" i="13"/>
  <c r="K69" i="11"/>
  <c r="AI187" i="13"/>
  <c r="BD187" i="13" s="1"/>
  <c r="BE187" i="13" s="1"/>
  <c r="K83" i="11"/>
  <c r="BR151" i="13"/>
  <c r="K72" i="11"/>
  <c r="BS239" i="13"/>
  <c r="L69" i="11"/>
  <c r="AK187" i="13"/>
  <c r="BJ187" i="13" s="1"/>
  <c r="BK187" i="13" s="1"/>
  <c r="W181" i="5" s="1"/>
  <c r="W181" i="21" s="1"/>
  <c r="M83" i="11"/>
  <c r="BT151" i="13"/>
  <c r="M72" i="11"/>
  <c r="F151" i="21"/>
  <c r="F189" i="21"/>
  <c r="AF189" i="21" s="1"/>
  <c r="F190" i="21"/>
  <c r="AF190" i="21" s="1"/>
  <c r="I58" i="21"/>
  <c r="I59" i="21"/>
  <c r="W187" i="21"/>
  <c r="W188" i="21"/>
  <c r="F152" i="21"/>
  <c r="AF152" i="21" s="1"/>
  <c r="P184" i="21"/>
  <c r="P185" i="21"/>
  <c r="W184" i="21"/>
  <c r="W185" i="21"/>
  <c r="P187" i="21"/>
  <c r="P188" i="21"/>
  <c r="I184" i="21"/>
  <c r="I185" i="21"/>
  <c r="I187" i="21"/>
  <c r="I188" i="21"/>
  <c r="I159" i="21"/>
  <c r="F153" i="21"/>
  <c r="I114" i="21"/>
  <c r="AK145" i="13"/>
  <c r="AI145" i="13"/>
  <c r="AJ145" i="13"/>
  <c r="F138" i="5"/>
  <c r="AB144" i="13"/>
  <c r="I26" i="3" s="1"/>
  <c r="AB250" i="13"/>
  <c r="F137" i="5" s="1"/>
  <c r="AC137" i="5" s="1"/>
  <c r="BC114" i="13"/>
  <c r="AI70" i="13"/>
  <c r="BC145" i="13"/>
  <c r="F91" i="5"/>
  <c r="AC91" i="5" s="1"/>
  <c r="AK250" i="13"/>
  <c r="AJ250" i="13"/>
  <c r="AI250" i="13"/>
  <c r="AZ145" i="13"/>
  <c r="BA145" i="13"/>
  <c r="AA77" i="13"/>
  <c r="AB77" i="13" s="1"/>
  <c r="AI77" i="13" s="1"/>
  <c r="U75" i="13"/>
  <c r="AA75" i="13" s="1"/>
  <c r="BJ23" i="13"/>
  <c r="BK23" i="13" s="1"/>
  <c r="W24" i="5" s="1"/>
  <c r="W24" i="21" s="1"/>
  <c r="BT23" i="13"/>
  <c r="BD23" i="13"/>
  <c r="BE23" i="13" s="1"/>
  <c r="BR23" i="13"/>
  <c r="BG23" i="13"/>
  <c r="BH23" i="13" s="1"/>
  <c r="P24" i="5" s="1"/>
  <c r="P24" i="21" s="1"/>
  <c r="BS23" i="13"/>
  <c r="U219" i="13"/>
  <c r="AA219" i="13" s="1"/>
  <c r="AB219" i="13" s="1"/>
  <c r="AB236" i="13"/>
  <c r="I202" i="21"/>
  <c r="I205" i="21"/>
  <c r="I113" i="21"/>
  <c r="F105" i="5"/>
  <c r="AC105" i="5" s="1"/>
  <c r="AI254" i="13"/>
  <c r="AJ254" i="13"/>
  <c r="AK254" i="13"/>
  <c r="BB114" i="13"/>
  <c r="I197" i="21"/>
  <c r="W197" i="21"/>
  <c r="P197" i="21"/>
  <c r="I163" i="21"/>
  <c r="I118" i="21"/>
  <c r="I196" i="21"/>
  <c r="I108" i="21"/>
  <c r="W196" i="21"/>
  <c r="W118" i="21"/>
  <c r="P196" i="21"/>
  <c r="I194" i="21"/>
  <c r="I99" i="21"/>
  <c r="I100" i="21"/>
  <c r="P99" i="21"/>
  <c r="P100" i="21"/>
  <c r="I95" i="21"/>
  <c r="I96" i="21"/>
  <c r="W99" i="21"/>
  <c r="W100" i="21"/>
  <c r="P118" i="21"/>
  <c r="AJ94" i="13"/>
  <c r="AJ93" i="13" s="1"/>
  <c r="AK94" i="13"/>
  <c r="AK93" i="13" s="1"/>
  <c r="F81" i="5"/>
  <c r="AC81" i="5" s="1"/>
  <c r="AI94" i="13"/>
  <c r="AI93" i="13" s="1"/>
  <c r="AK84" i="13"/>
  <c r="AK83" i="13" s="1"/>
  <c r="AI84" i="13"/>
  <c r="AI83" i="13" s="1"/>
  <c r="AJ84" i="13"/>
  <c r="AJ83" i="13" s="1"/>
  <c r="BG72" i="13"/>
  <c r="BH72" i="13" s="1"/>
  <c r="P69" i="5" s="1"/>
  <c r="P69" i="21" s="1"/>
  <c r="BS72" i="13"/>
  <c r="BJ72" i="13"/>
  <c r="BK72" i="13" s="1"/>
  <c r="W69" i="5" s="1"/>
  <c r="W69" i="21" s="1"/>
  <c r="BT72" i="13"/>
  <c r="BD72" i="13"/>
  <c r="BE72" i="13" s="1"/>
  <c r="I69" i="5" s="1"/>
  <c r="I69" i="21" s="1"/>
  <c r="BR72" i="13"/>
  <c r="F12" i="21"/>
  <c r="AF12" i="21" s="1"/>
  <c r="AC85" i="5"/>
  <c r="AC68" i="5"/>
  <c r="F68" i="21"/>
  <c r="AF68" i="21" s="1"/>
  <c r="AC167" i="5"/>
  <c r="AC57" i="5"/>
  <c r="F57" i="21"/>
  <c r="AF57" i="21" s="1"/>
  <c r="AC172" i="5"/>
  <c r="F169" i="21"/>
  <c r="AF169" i="21" s="1"/>
  <c r="AC54" i="5"/>
  <c r="F54" i="21"/>
  <c r="AF54" i="21" s="1"/>
  <c r="AC24" i="5"/>
  <c r="F24" i="21"/>
  <c r="AF24" i="21" s="1"/>
  <c r="AC189" i="5"/>
  <c r="AC151" i="5"/>
  <c r="AC56" i="5"/>
  <c r="AC49" i="5"/>
  <c r="F49" i="21"/>
  <c r="AF49" i="21" s="1"/>
  <c r="AC44" i="5"/>
  <c r="F44" i="21"/>
  <c r="AF44" i="21" s="1"/>
  <c r="AC120" i="5"/>
  <c r="AC168" i="5"/>
  <c r="AC96" i="5"/>
  <c r="AC212" i="5"/>
  <c r="AC176" i="5"/>
  <c r="AC188" i="5"/>
  <c r="AF185" i="21"/>
  <c r="AC123" i="5"/>
  <c r="AC76" i="5"/>
  <c r="AC16" i="5"/>
  <c r="F16" i="21"/>
  <c r="AF16" i="21" s="1"/>
  <c r="AC106" i="5"/>
  <c r="AC67" i="5"/>
  <c r="AC89" i="5"/>
  <c r="AC131" i="5"/>
  <c r="AC127" i="5"/>
  <c r="AC224" i="5"/>
  <c r="AC179" i="5"/>
  <c r="AC112" i="5"/>
  <c r="F111" i="21"/>
  <c r="AF111" i="21" s="1"/>
  <c r="AC144" i="5"/>
  <c r="I51" i="21"/>
  <c r="AC178" i="5"/>
  <c r="AC111" i="5"/>
  <c r="AC133" i="5"/>
  <c r="F132" i="21"/>
  <c r="AF132" i="21" s="1"/>
  <c r="AC180" i="5"/>
  <c r="AC110" i="5"/>
  <c r="AC190" i="5"/>
  <c r="AC171" i="5"/>
  <c r="F168" i="21"/>
  <c r="AF168" i="21" s="1"/>
  <c r="AC28" i="5"/>
  <c r="F28" i="21"/>
  <c r="AF28" i="21" s="1"/>
  <c r="AC125" i="5"/>
  <c r="AC134" i="5"/>
  <c r="AF133" i="21"/>
  <c r="AC150" i="5"/>
  <c r="AF147" i="21"/>
  <c r="AC214" i="5"/>
  <c r="AC218" i="5"/>
  <c r="F215" i="21"/>
  <c r="AF215" i="21" s="1"/>
  <c r="AC217" i="5"/>
  <c r="AC174" i="5"/>
  <c r="AC59" i="5"/>
  <c r="AC14" i="5"/>
  <c r="F14" i="21"/>
  <c r="AF14" i="21" s="1"/>
  <c r="AC19" i="5"/>
  <c r="F19" i="21"/>
  <c r="AF19" i="21" s="1"/>
  <c r="AC50" i="5"/>
  <c r="F50" i="21"/>
  <c r="AF50" i="21" s="1"/>
  <c r="AC34" i="5"/>
  <c r="F34" i="21"/>
  <c r="AF34" i="21" s="1"/>
  <c r="AC139" i="5"/>
  <c r="AC42" i="5"/>
  <c r="AC129" i="5"/>
  <c r="AC23" i="5"/>
  <c r="F23" i="21"/>
  <c r="AF23" i="21" s="1"/>
  <c r="AC203" i="5"/>
  <c r="AC138" i="5"/>
  <c r="AC135" i="5"/>
  <c r="F134" i="21"/>
  <c r="AF134" i="21" s="1"/>
  <c r="AC60" i="5"/>
  <c r="F60" i="21"/>
  <c r="AF60" i="21" s="1"/>
  <c r="AC108" i="5"/>
  <c r="AC220" i="5"/>
  <c r="F217" i="21"/>
  <c r="AF217" i="21" s="1"/>
  <c r="AC121" i="5"/>
  <c r="F120" i="21"/>
  <c r="AF120" i="21" s="1"/>
  <c r="AC53" i="5"/>
  <c r="AC22" i="5"/>
  <c r="F22" i="21"/>
  <c r="AF22" i="21" s="1"/>
  <c r="AC30" i="5"/>
  <c r="F30" i="21"/>
  <c r="AF30" i="21" s="1"/>
  <c r="AC185" i="5"/>
  <c r="AC182" i="5"/>
  <c r="F179" i="21"/>
  <c r="AF179" i="21" s="1"/>
  <c r="AC169" i="5"/>
  <c r="AC45" i="5"/>
  <c r="F45" i="21"/>
  <c r="AF45" i="21" s="1"/>
  <c r="AC152" i="5"/>
  <c r="AC21" i="5"/>
  <c r="F21" i="21"/>
  <c r="AF21" i="21" s="1"/>
  <c r="AC29" i="5"/>
  <c r="F29" i="21"/>
  <c r="AF29" i="21" s="1"/>
  <c r="AC140" i="5"/>
  <c r="F138" i="21"/>
  <c r="AF138" i="21" s="1"/>
  <c r="AC222" i="5"/>
  <c r="AC43" i="5"/>
  <c r="F43" i="21"/>
  <c r="AF43" i="21" s="1"/>
  <c r="AC13" i="5"/>
  <c r="F13" i="21"/>
  <c r="AF13" i="21" s="1"/>
  <c r="AC25" i="5"/>
  <c r="F25" i="21"/>
  <c r="AF25" i="21" s="1"/>
  <c r="AC142" i="5"/>
  <c r="F140" i="21"/>
  <c r="AF140" i="21" s="1"/>
  <c r="AC114" i="5"/>
  <c r="AC155" i="5"/>
  <c r="AB218" i="21"/>
  <c r="AI41" i="13"/>
  <c r="AJ205" i="13"/>
  <c r="AI205" i="13"/>
  <c r="AK205" i="13"/>
  <c r="AI89" i="13"/>
  <c r="AK89" i="13"/>
  <c r="AJ89" i="13"/>
  <c r="AJ140" i="13"/>
  <c r="AJ143" i="13"/>
  <c r="AJ142" i="13"/>
  <c r="BG142" i="13" s="1"/>
  <c r="BH142" i="13" s="1"/>
  <c r="P134" i="5" s="1"/>
  <c r="P134" i="21" s="1"/>
  <c r="AJ141" i="13"/>
  <c r="AK140" i="13"/>
  <c r="AK143" i="13"/>
  <c r="AK142" i="13"/>
  <c r="BJ142" i="13" s="1"/>
  <c r="BK142" i="13" s="1"/>
  <c r="W134" i="5" s="1"/>
  <c r="W134" i="21" s="1"/>
  <c r="AK141" i="13"/>
  <c r="AK225" i="13"/>
  <c r="BT225" i="13" s="1"/>
  <c r="AJ225" i="13"/>
  <c r="BS225" i="13" s="1"/>
  <c r="AI225" i="13"/>
  <c r="BR225" i="13" s="1"/>
  <c r="AI141" i="13"/>
  <c r="AI140" i="13"/>
  <c r="AI143" i="13"/>
  <c r="AI142" i="13"/>
  <c r="BD142" i="13" s="1"/>
  <c r="BE142" i="13" s="1"/>
  <c r="I134" i="5" s="1"/>
  <c r="I134" i="21" s="1"/>
  <c r="AJ227" i="13"/>
  <c r="AK227" i="13"/>
  <c r="AI227" i="13"/>
  <c r="AK217" i="13"/>
  <c r="AI217" i="13"/>
  <c r="AJ217" i="13"/>
  <c r="AJ80" i="13"/>
  <c r="AI80" i="13"/>
  <c r="AK80" i="13"/>
  <c r="AJ186" i="13"/>
  <c r="AJ185" i="13"/>
  <c r="AI229" i="13"/>
  <c r="AJ229" i="13"/>
  <c r="AK229" i="13"/>
  <c r="AI212" i="13"/>
  <c r="AK212" i="13"/>
  <c r="AJ212" i="13"/>
  <c r="AK186" i="13"/>
  <c r="AK185" i="13"/>
  <c r="AI170" i="13"/>
  <c r="AK170" i="13"/>
  <c r="AJ170" i="13"/>
  <c r="AJ165" i="13"/>
  <c r="AJ164" i="13" s="1"/>
  <c r="AK165" i="13"/>
  <c r="AK164" i="13" s="1"/>
  <c r="AI165" i="13"/>
  <c r="AI164" i="13" s="1"/>
  <c r="AI186" i="13"/>
  <c r="AI185" i="13"/>
  <c r="AK182" i="13"/>
  <c r="AK181" i="13"/>
  <c r="AI182" i="13"/>
  <c r="AI181" i="13"/>
  <c r="AJ174" i="13"/>
  <c r="AJ173" i="13"/>
  <c r="L80" i="11" s="1"/>
  <c r="AJ206" i="13"/>
  <c r="AI206" i="13"/>
  <c r="AK206" i="13"/>
  <c r="AJ181" i="13"/>
  <c r="AJ182" i="13"/>
  <c r="AK174" i="13"/>
  <c r="AK173" i="13"/>
  <c r="M80" i="11" s="1"/>
  <c r="AJ41" i="13"/>
  <c r="AI174" i="13"/>
  <c r="AI173" i="13"/>
  <c r="K80" i="11" s="1"/>
  <c r="AJ91" i="13"/>
  <c r="AI91" i="13"/>
  <c r="AK91" i="13"/>
  <c r="AI92" i="13"/>
  <c r="AJ92" i="13"/>
  <c r="AK92" i="13"/>
  <c r="I258" i="5"/>
  <c r="BK309" i="13"/>
  <c r="F64" i="16"/>
  <c r="I64" i="16" s="1"/>
  <c r="F98" i="5"/>
  <c r="F99" i="21" s="1"/>
  <c r="AF99" i="21" s="1"/>
  <c r="F61" i="5"/>
  <c r="F86" i="5"/>
  <c r="F81" i="16"/>
  <c r="I81" i="16" s="1"/>
  <c r="K22" i="3"/>
  <c r="F21" i="16"/>
  <c r="I21" i="16" s="1"/>
  <c r="F159" i="5"/>
  <c r="F82" i="16"/>
  <c r="I82" i="16" s="1"/>
  <c r="F80" i="16"/>
  <c r="I80" i="16" s="1"/>
  <c r="F156" i="5"/>
  <c r="F156" i="21" s="1"/>
  <c r="AM91" i="13"/>
  <c r="AY91" i="13" s="1"/>
  <c r="AB90" i="13"/>
  <c r="K21" i="3"/>
  <c r="BI309" i="13"/>
  <c r="BK302" i="13"/>
  <c r="BT298" i="13" s="1"/>
  <c r="BJ309" i="13"/>
  <c r="F32" i="5"/>
  <c r="F44" i="16"/>
  <c r="I44" i="16" s="1"/>
  <c r="F24" i="16"/>
  <c r="I24" i="16" s="1"/>
  <c r="F63" i="16"/>
  <c r="I63" i="16" s="1"/>
  <c r="AI189" i="13"/>
  <c r="AK189" i="13"/>
  <c r="AJ189" i="13"/>
  <c r="F62" i="5"/>
  <c r="AK63" i="13"/>
  <c r="AJ63" i="13"/>
  <c r="AI63" i="13"/>
  <c r="F88" i="5"/>
  <c r="F89" i="21" s="1"/>
  <c r="AF89" i="21" s="1"/>
  <c r="F33" i="5"/>
  <c r="BJ32" i="13"/>
  <c r="BG32" i="13"/>
  <c r="BD32" i="13"/>
  <c r="F26" i="5"/>
  <c r="BJ25" i="13"/>
  <c r="BG25" i="13"/>
  <c r="BD25" i="13"/>
  <c r="AJ192" i="13"/>
  <c r="F124" i="5"/>
  <c r="F124" i="21" s="1"/>
  <c r="AF124" i="21" s="1"/>
  <c r="AK130" i="13"/>
  <c r="AJ130" i="13"/>
  <c r="BT149" i="13"/>
  <c r="BS149" i="13"/>
  <c r="BR149" i="13"/>
  <c r="F74" i="5"/>
  <c r="F72" i="5"/>
  <c r="BJ11" i="13"/>
  <c r="BK11" i="13" s="1"/>
  <c r="W12" i="5" s="1"/>
  <c r="W12" i="21" s="1"/>
  <c r="BG11" i="13"/>
  <c r="BH11" i="13" s="1"/>
  <c r="P12" i="5" s="1"/>
  <c r="P12" i="21" s="1"/>
  <c r="F84" i="5"/>
  <c r="F85" i="21" s="1"/>
  <c r="AF85" i="21" s="1"/>
  <c r="F128" i="5"/>
  <c r="F128" i="21" s="1"/>
  <c r="AF128" i="21" s="1"/>
  <c r="AI134" i="13"/>
  <c r="AK134" i="13"/>
  <c r="AJ134" i="13"/>
  <c r="F52" i="5"/>
  <c r="F53" i="21" s="1"/>
  <c r="AF53" i="21" s="1"/>
  <c r="F18" i="5"/>
  <c r="AI16" i="13"/>
  <c r="BJ157" i="13"/>
  <c r="BK157" i="13" s="1"/>
  <c r="W151" i="5" s="1"/>
  <c r="BG157" i="13"/>
  <c r="BH157" i="13" s="1"/>
  <c r="P151" i="5" s="1"/>
  <c r="BD157" i="13"/>
  <c r="BE157" i="13" s="1"/>
  <c r="I151" i="5" s="1"/>
  <c r="AK56" i="13"/>
  <c r="AJ56" i="13"/>
  <c r="AI56" i="13"/>
  <c r="F15" i="5"/>
  <c r="BJ29" i="13"/>
  <c r="BK29" i="13" s="1"/>
  <c r="W30" i="5" s="1"/>
  <c r="W30" i="21" s="1"/>
  <c r="BG29" i="13"/>
  <c r="BD29" i="13"/>
  <c r="BE29" i="13" s="1"/>
  <c r="I30" i="5" s="1"/>
  <c r="I30" i="21" s="1"/>
  <c r="F97" i="5"/>
  <c r="BD102" i="13"/>
  <c r="BE102" i="13" s="1"/>
  <c r="I97" i="5" s="1"/>
  <c r="BJ102" i="13"/>
  <c r="BK102" i="13" s="1"/>
  <c r="W97" i="5" s="1"/>
  <c r="BG102" i="13"/>
  <c r="BH102" i="13" s="1"/>
  <c r="P97" i="5" s="1"/>
  <c r="F69" i="5"/>
  <c r="F175" i="5"/>
  <c r="F175" i="21" s="1"/>
  <c r="AF175" i="21" s="1"/>
  <c r="F157" i="5"/>
  <c r="AK162" i="13"/>
  <c r="AJ162" i="13"/>
  <c r="AI162" i="13"/>
  <c r="BT114" i="13"/>
  <c r="BS114" i="13"/>
  <c r="BR114" i="13"/>
  <c r="F71" i="5"/>
  <c r="F71" i="21" s="1"/>
  <c r="BD73" i="13"/>
  <c r="BT73" i="13"/>
  <c r="BG73" i="13"/>
  <c r="F100" i="5"/>
  <c r="AK103" i="13"/>
  <c r="AJ103" i="13"/>
  <c r="AI103" i="13"/>
  <c r="F82" i="5"/>
  <c r="BE234" i="13"/>
  <c r="I39" i="5" s="1"/>
  <c r="I39" i="21" s="1"/>
  <c r="BH234" i="13"/>
  <c r="P39" i="5" s="1"/>
  <c r="P39" i="21" s="1"/>
  <c r="BK252" i="13"/>
  <c r="W165" i="5" s="1"/>
  <c r="BH252" i="13"/>
  <c r="P165" i="5" s="1"/>
  <c r="F107" i="5"/>
  <c r="F107" i="21" s="1"/>
  <c r="AF107" i="21" s="1"/>
  <c r="BE252" i="13"/>
  <c r="I165" i="5" s="1"/>
  <c r="F53" i="16"/>
  <c r="I53" i="16" s="1"/>
  <c r="BJ163" i="13"/>
  <c r="BK163" i="13" s="1"/>
  <c r="W157" i="5" s="1"/>
  <c r="BG151" i="13"/>
  <c r="BH151" i="13" s="1"/>
  <c r="P144" i="5" s="1"/>
  <c r="F173" i="5"/>
  <c r="F173" i="21" s="1"/>
  <c r="AF173" i="21" s="1"/>
  <c r="F66" i="5"/>
  <c r="F67" i="21" s="1"/>
  <c r="AF67" i="21" s="1"/>
  <c r="F29" i="16"/>
  <c r="I29" i="16" s="1"/>
  <c r="F78" i="16"/>
  <c r="I78" i="16" s="1"/>
  <c r="F58" i="5"/>
  <c r="F59" i="21" s="1"/>
  <c r="AF59" i="21" s="1"/>
  <c r="F22" i="16"/>
  <c r="I22" i="16" s="1"/>
  <c r="BJ150" i="13"/>
  <c r="BK150" i="13" s="1"/>
  <c r="W143" i="5" s="1"/>
  <c r="BD150" i="13"/>
  <c r="BE150" i="13" s="1"/>
  <c r="I143" i="5" s="1"/>
  <c r="BD151" i="13"/>
  <c r="BE151" i="13" s="1"/>
  <c r="I144" i="5" s="1"/>
  <c r="BD163" i="13"/>
  <c r="F126" i="5"/>
  <c r="F126" i="21" s="1"/>
  <c r="AF126" i="21" s="1"/>
  <c r="F122" i="21"/>
  <c r="AF122" i="21" s="1"/>
  <c r="F41" i="5"/>
  <c r="F42" i="21" s="1"/>
  <c r="AF42" i="21" s="1"/>
  <c r="F130" i="5"/>
  <c r="F131" i="21" s="1"/>
  <c r="AF131" i="21" s="1"/>
  <c r="F221" i="5"/>
  <c r="F221" i="21" s="1"/>
  <c r="AF221" i="21" s="1"/>
  <c r="F181" i="5"/>
  <c r="F181" i="21" s="1"/>
  <c r="AF181" i="21" s="1"/>
  <c r="F183" i="5"/>
  <c r="F184" i="21" s="1"/>
  <c r="F19" i="16"/>
  <c r="I19" i="16" s="1"/>
  <c r="F51" i="5"/>
  <c r="F55" i="5"/>
  <c r="F56" i="21" s="1"/>
  <c r="AF56" i="21" s="1"/>
  <c r="F76" i="16"/>
  <c r="I76" i="16" s="1"/>
  <c r="F166" i="5"/>
  <c r="F166" i="21" s="1"/>
  <c r="AF166" i="21" s="1"/>
  <c r="F109" i="5"/>
  <c r="F110" i="21" s="1"/>
  <c r="AF110" i="21" s="1"/>
  <c r="F186" i="5"/>
  <c r="F187" i="21" s="1"/>
  <c r="F170" i="5"/>
  <c r="F171" i="21" s="1"/>
  <c r="AF171" i="21" s="1"/>
  <c r="F141" i="5"/>
  <c r="F141" i="21" s="1"/>
  <c r="AF141" i="21" s="1"/>
  <c r="BT188" i="13"/>
  <c r="F12" i="16"/>
  <c r="I12" i="16" s="1"/>
  <c r="BR188" i="13"/>
  <c r="F54" i="16"/>
  <c r="I54" i="16" s="1"/>
  <c r="AB123" i="13"/>
  <c r="AI130" i="13"/>
  <c r="BJ156" i="13"/>
  <c r="BK156" i="13" s="1"/>
  <c r="F9" i="16"/>
  <c r="I9" i="16" s="1"/>
  <c r="F20" i="5"/>
  <c r="F11" i="5"/>
  <c r="AC11" i="5" s="1"/>
  <c r="AC244" i="5" s="1"/>
  <c r="BG150" i="13"/>
  <c r="BH150" i="13" s="1"/>
  <c r="P143" i="5" s="1"/>
  <c r="BD156" i="13"/>
  <c r="BE156" i="13" s="1"/>
  <c r="F17" i="5"/>
  <c r="BJ151" i="13"/>
  <c r="F11" i="16"/>
  <c r="I11" i="16" s="1"/>
  <c r="F31" i="5"/>
  <c r="I11" i="5"/>
  <c r="BD161" i="13"/>
  <c r="BE161" i="13" s="1"/>
  <c r="I155" i="5" s="1"/>
  <c r="BD188" i="13"/>
  <c r="BE188" i="13" s="1"/>
  <c r="I182" i="5" s="1"/>
  <c r="I183" i="21" s="1"/>
  <c r="AB86" i="13"/>
  <c r="AB164" i="13"/>
  <c r="F219" i="5"/>
  <c r="F219" i="21" s="1"/>
  <c r="AF219" i="21" s="1"/>
  <c r="F60" i="16"/>
  <c r="I60" i="16" s="1"/>
  <c r="BJ188" i="13"/>
  <c r="BK188" i="13" s="1"/>
  <c r="W182" i="5" s="1"/>
  <c r="W183" i="21" s="1"/>
  <c r="BG188" i="13"/>
  <c r="BH188" i="13" s="1"/>
  <c r="P182" i="5" s="1"/>
  <c r="P183" i="21" s="1"/>
  <c r="BJ161" i="13"/>
  <c r="BK161" i="13" s="1"/>
  <c r="W155" i="5" s="1"/>
  <c r="BG161" i="13"/>
  <c r="BH161" i="13" s="1"/>
  <c r="P155" i="5" s="1"/>
  <c r="AI59" i="13"/>
  <c r="BS188" i="13"/>
  <c r="BG156" i="13"/>
  <c r="BT158" i="13"/>
  <c r="BJ158" i="13"/>
  <c r="BG158" i="13"/>
  <c r="BS158" i="13"/>
  <c r="BD158" i="13"/>
  <c r="I257" i="5" a="1"/>
  <c r="I257" i="5" s="1"/>
  <c r="BR158" i="13"/>
  <c r="BJ22" i="13"/>
  <c r="BT22" i="13"/>
  <c r="BG22" i="13"/>
  <c r="BS22" i="13"/>
  <c r="BJ12" i="13"/>
  <c r="BT12" i="13"/>
  <c r="BD12" i="13"/>
  <c r="BR12" i="13"/>
  <c r="BG12" i="13"/>
  <c r="BS12" i="13"/>
  <c r="BG239" i="13"/>
  <c r="BH239" i="13" s="1"/>
  <c r="P123" i="5" s="1"/>
  <c r="P123" i="21" s="1"/>
  <c r="BD239" i="13"/>
  <c r="BE239" i="13" s="1"/>
  <c r="I123" i="5" s="1"/>
  <c r="I123" i="21" s="1"/>
  <c r="BJ239" i="13"/>
  <c r="BK239" i="13" s="1"/>
  <c r="W123" i="5" s="1"/>
  <c r="W123" i="21" s="1"/>
  <c r="BD22" i="13"/>
  <c r="BR22" i="13"/>
  <c r="F61" i="16"/>
  <c r="I61" i="16" s="1"/>
  <c r="AB210" i="13"/>
  <c r="Z204" i="13"/>
  <c r="AA81" i="13"/>
  <c r="AB81" i="13" s="1"/>
  <c r="F77" i="16"/>
  <c r="AI192" i="13"/>
  <c r="AK192" i="13"/>
  <c r="I244" i="5"/>
  <c r="BE240" i="13"/>
  <c r="I245" i="5" s="1"/>
  <c r="BH240" i="13"/>
  <c r="P127" i="5" s="1"/>
  <c r="P127" i="21" s="1"/>
  <c r="BK240" i="13"/>
  <c r="W127" i="5" s="1"/>
  <c r="W127" i="21" s="1"/>
  <c r="F62" i="16"/>
  <c r="I62" i="16" s="1"/>
  <c r="AB152" i="13"/>
  <c r="BE245" i="13"/>
  <c r="I178" i="5" s="1"/>
  <c r="BE244" i="13"/>
  <c r="I253" i="5" s="1"/>
  <c r="BE243" i="13"/>
  <c r="I251" i="5" s="1"/>
  <c r="BE242" i="13"/>
  <c r="I167" i="5" s="1"/>
  <c r="BH245" i="13"/>
  <c r="P178" i="5" s="1"/>
  <c r="BH244" i="13"/>
  <c r="P174" i="5" s="1"/>
  <c r="BH242" i="13"/>
  <c r="P167" i="5" s="1"/>
  <c r="BK245" i="13"/>
  <c r="W178" i="5" s="1"/>
  <c r="BK244" i="13"/>
  <c r="W174" i="5" s="1"/>
  <c r="BK242" i="13"/>
  <c r="W167" i="5" s="1"/>
  <c r="BK241" i="13"/>
  <c r="W131" i="5" s="1"/>
  <c r="W131" i="21" s="1"/>
  <c r="BH241" i="13"/>
  <c r="P131" i="5" s="1"/>
  <c r="P131" i="21" s="1"/>
  <c r="BE241" i="13"/>
  <c r="I131" i="5" s="1"/>
  <c r="I131" i="21" s="1"/>
  <c r="BK237" i="13"/>
  <c r="W56" i="5" s="1"/>
  <c r="BH237" i="13"/>
  <c r="P56" i="5" s="1"/>
  <c r="BE237" i="13"/>
  <c r="I56" i="5" s="1"/>
  <c r="AB204" i="13"/>
  <c r="F164" i="5"/>
  <c r="AB169" i="13"/>
  <c r="F8" i="16"/>
  <c r="I8" i="16" s="1"/>
  <c r="AB39" i="13"/>
  <c r="F200" i="5"/>
  <c r="F201" i="5"/>
  <c r="BH15" i="13"/>
  <c r="BH27" i="13"/>
  <c r="P28" i="5" s="1"/>
  <c r="P28" i="21" s="1"/>
  <c r="BK27" i="13"/>
  <c r="W28" i="5" s="1"/>
  <c r="W28" i="21" s="1"/>
  <c r="BE27" i="13"/>
  <c r="I28" i="5" s="1"/>
  <c r="I28" i="21" s="1"/>
  <c r="BK15" i="13"/>
  <c r="W16" i="5" s="1"/>
  <c r="F206" i="5"/>
  <c r="AB201" i="13"/>
  <c r="F78" i="5"/>
  <c r="BD128" i="13"/>
  <c r="BG128" i="13"/>
  <c r="BJ128" i="13"/>
  <c r="BE15" i="13"/>
  <c r="I16" i="5" s="1"/>
  <c r="I16" i="21" s="1"/>
  <c r="AI19" i="13"/>
  <c r="F52" i="16"/>
  <c r="I52" i="16" s="1"/>
  <c r="F104" i="5"/>
  <c r="AI155" i="13"/>
  <c r="AK155" i="13"/>
  <c r="AJ19" i="13"/>
  <c r="AI117" i="13"/>
  <c r="F7" i="16"/>
  <c r="I7" i="16" s="1"/>
  <c r="AB36" i="13"/>
  <c r="C36" i="11" s="1"/>
  <c r="AI126" i="13"/>
  <c r="F10" i="16"/>
  <c r="I10" i="16" s="1"/>
  <c r="AA197" i="13"/>
  <c r="AA214" i="13"/>
  <c r="AK117" i="13"/>
  <c r="AJ126" i="13"/>
  <c r="AJ117" i="13"/>
  <c r="AK126" i="13"/>
  <c r="BE223" i="13"/>
  <c r="I217" i="5" s="1"/>
  <c r="BE220" i="13"/>
  <c r="I214" i="5" s="1"/>
  <c r="BE69" i="13"/>
  <c r="I66" i="5" s="1"/>
  <c r="BG222" i="13"/>
  <c r="BH222" i="13" s="1"/>
  <c r="P216" i="5" s="1"/>
  <c r="BD221" i="13"/>
  <c r="BG220" i="13"/>
  <c r="BH220" i="13" s="1"/>
  <c r="P214" i="5" s="1"/>
  <c r="BG226" i="13"/>
  <c r="BH226" i="13" s="1"/>
  <c r="P220" i="5" s="1"/>
  <c r="BD226" i="13"/>
  <c r="BJ222" i="13"/>
  <c r="BK222" i="13" s="1"/>
  <c r="W216" i="5" s="1"/>
  <c r="BG218" i="13"/>
  <c r="BH218" i="13" s="1"/>
  <c r="P212" i="5" s="1"/>
  <c r="BJ229" i="13"/>
  <c r="BK229" i="13" s="1"/>
  <c r="W223" i="5" s="1"/>
  <c r="BJ218" i="13"/>
  <c r="BK218" i="13" s="1"/>
  <c r="W212" i="5" s="1"/>
  <c r="BJ223" i="13"/>
  <c r="BK223" i="13" s="1"/>
  <c r="W217" i="5" s="1"/>
  <c r="BG221" i="13"/>
  <c r="BH221" i="13" s="1"/>
  <c r="P215" i="5" s="1"/>
  <c r="BJ221" i="13"/>
  <c r="BK221" i="13" s="1"/>
  <c r="W215" i="5" s="1"/>
  <c r="BD218" i="13"/>
  <c r="BD225" i="13"/>
  <c r="BD224" i="13"/>
  <c r="BJ220" i="13"/>
  <c r="BK220" i="13" s="1"/>
  <c r="W214" i="5" s="1"/>
  <c r="BG223" i="13"/>
  <c r="BH223" i="13" s="1"/>
  <c r="P217" i="5" s="1"/>
  <c r="BJ228" i="13"/>
  <c r="BK228" i="13" s="1"/>
  <c r="W222" i="5" s="1"/>
  <c r="BD228" i="13"/>
  <c r="BJ224" i="13"/>
  <c r="BK224" i="13" s="1"/>
  <c r="W218" i="5" s="1"/>
  <c r="BJ225" i="13"/>
  <c r="BK225" i="13" s="1"/>
  <c r="W219" i="5" s="1"/>
  <c r="BG224" i="13"/>
  <c r="BH224" i="13" s="1"/>
  <c r="P218" i="5" s="1"/>
  <c r="BG225" i="13"/>
  <c r="BH225" i="13" s="1"/>
  <c r="P219" i="5" s="1"/>
  <c r="BD222" i="13"/>
  <c r="F136" i="5"/>
  <c r="F137" i="21" s="1"/>
  <c r="AF137" i="21" s="1"/>
  <c r="F223" i="5"/>
  <c r="F223" i="21" s="1"/>
  <c r="AC215" i="5"/>
  <c r="AC216" i="5"/>
  <c r="F118" i="5"/>
  <c r="F177" i="5"/>
  <c r="F177" i="21" s="1"/>
  <c r="AF177" i="21" s="1"/>
  <c r="BJ75" i="13"/>
  <c r="BK75" i="13" s="1"/>
  <c r="W73" i="5" s="1"/>
  <c r="BG75" i="13"/>
  <c r="BH75" i="13" s="1"/>
  <c r="P73" i="5" s="1"/>
  <c r="BD75" i="13"/>
  <c r="BE75" i="13" s="1"/>
  <c r="BJ46" i="13"/>
  <c r="BK46" i="13" s="1"/>
  <c r="W46" i="5" s="1"/>
  <c r="W46" i="21" s="1"/>
  <c r="BD46" i="13"/>
  <c r="BD113" i="13"/>
  <c r="BJ113" i="13"/>
  <c r="BG113" i="13"/>
  <c r="BJ69" i="13"/>
  <c r="BK69" i="13" s="1"/>
  <c r="W66" i="5" s="1"/>
  <c r="BG69" i="13"/>
  <c r="BH69" i="13" s="1"/>
  <c r="P66" i="5" s="1"/>
  <c r="F27" i="5"/>
  <c r="I31" i="5"/>
  <c r="I20" i="5"/>
  <c r="I20" i="21" s="1"/>
  <c r="I181" i="5"/>
  <c r="F79" i="16"/>
  <c r="I79" i="16" s="1"/>
  <c r="F59" i="16"/>
  <c r="I59" i="16" s="1"/>
  <c r="BD65" i="13"/>
  <c r="BD96" i="13"/>
  <c r="BE96" i="13" s="1"/>
  <c r="BG46" i="13"/>
  <c r="BH46" i="13" s="1"/>
  <c r="P46" i="5" s="1"/>
  <c r="P46" i="21" s="1"/>
  <c r="F211" i="5"/>
  <c r="F211" i="21" s="1"/>
  <c r="AF211" i="21" s="1"/>
  <c r="F94" i="16"/>
  <c r="I148" i="5"/>
  <c r="BT174" i="13" l="1"/>
  <c r="BS254" i="13"/>
  <c r="L66" i="11"/>
  <c r="BR254" i="13"/>
  <c r="K66" i="11"/>
  <c r="BS145" i="13"/>
  <c r="L70" i="11"/>
  <c r="BT254" i="13"/>
  <c r="M66" i="11"/>
  <c r="BS174" i="13"/>
  <c r="BR145" i="13"/>
  <c r="K70" i="11"/>
  <c r="BT145" i="13"/>
  <c r="M70" i="11"/>
  <c r="BR174" i="13"/>
  <c r="I151" i="21"/>
  <c r="I149" i="5"/>
  <c r="W151" i="21"/>
  <c r="W149" i="5"/>
  <c r="AK144" i="13"/>
  <c r="BD145" i="13"/>
  <c r="BD250" i="13" s="1"/>
  <c r="BE250" i="13" s="1"/>
  <c r="AJ144" i="13"/>
  <c r="AI144" i="13"/>
  <c r="BJ145" i="13"/>
  <c r="BG145" i="13"/>
  <c r="F224" i="21"/>
  <c r="I66" i="21"/>
  <c r="I67" i="21"/>
  <c r="F222" i="21"/>
  <c r="I56" i="21"/>
  <c r="I57" i="21"/>
  <c r="W223" i="21"/>
  <c r="W224" i="21"/>
  <c r="P56" i="21"/>
  <c r="P57" i="21"/>
  <c r="W56" i="21"/>
  <c r="W57" i="21"/>
  <c r="F157" i="21"/>
  <c r="I156" i="21"/>
  <c r="W157" i="21"/>
  <c r="W158" i="21"/>
  <c r="W66" i="21"/>
  <c r="W67" i="21"/>
  <c r="P66" i="21"/>
  <c r="P67" i="21"/>
  <c r="P155" i="21"/>
  <c r="P156" i="21"/>
  <c r="W155" i="21"/>
  <c r="W156" i="21"/>
  <c r="BK297" i="13"/>
  <c r="F75" i="5"/>
  <c r="F76" i="21" s="1"/>
  <c r="AF76" i="21" s="1"/>
  <c r="AB75" i="13"/>
  <c r="AJ77" i="13"/>
  <c r="AJ75" i="13" s="1"/>
  <c r="AK77" i="13"/>
  <c r="AK75" i="13" s="1"/>
  <c r="BJ297" i="13"/>
  <c r="BI297" i="13"/>
  <c r="AB231" i="13"/>
  <c r="F213" i="5"/>
  <c r="F213" i="21" s="1"/>
  <c r="AF213" i="21" s="1"/>
  <c r="F105" i="21"/>
  <c r="AF105" i="21" s="1"/>
  <c r="AI236" i="13"/>
  <c r="AI48" i="13" s="1"/>
  <c r="AK236" i="13"/>
  <c r="AK50" i="13" s="1"/>
  <c r="F235" i="5"/>
  <c r="AJ236" i="13"/>
  <c r="F47" i="5"/>
  <c r="F48" i="21" s="1"/>
  <c r="AF48" i="21" s="1"/>
  <c r="F136" i="21"/>
  <c r="AF136" i="21" s="1"/>
  <c r="F109" i="21"/>
  <c r="AF109" i="21" s="1"/>
  <c r="AF184" i="21"/>
  <c r="F183" i="21"/>
  <c r="AF183" i="21" s="1"/>
  <c r="F130" i="21"/>
  <c r="AF130" i="21" s="1"/>
  <c r="F186" i="21"/>
  <c r="AF186" i="21" s="1"/>
  <c r="F119" i="21"/>
  <c r="AF119" i="21" s="1"/>
  <c r="F118" i="21"/>
  <c r="AF118" i="21" s="1"/>
  <c r="P142" i="21"/>
  <c r="P144" i="21"/>
  <c r="I142" i="21"/>
  <c r="I144" i="21"/>
  <c r="I141" i="21"/>
  <c r="I143" i="21"/>
  <c r="W141" i="21"/>
  <c r="W143" i="21"/>
  <c r="P141" i="21"/>
  <c r="P143" i="21"/>
  <c r="F182" i="21"/>
  <c r="AF182" i="21" s="1"/>
  <c r="F214" i="21"/>
  <c r="AF214" i="21" s="1"/>
  <c r="F212" i="21"/>
  <c r="AF212" i="21" s="1"/>
  <c r="F142" i="21"/>
  <c r="AF142" i="21" s="1"/>
  <c r="AF187" i="21"/>
  <c r="F165" i="21"/>
  <c r="AF165" i="21" s="1"/>
  <c r="F176" i="21"/>
  <c r="AF176" i="21" s="1"/>
  <c r="P166" i="21"/>
  <c r="W166" i="21"/>
  <c r="W220" i="21"/>
  <c r="P219" i="21"/>
  <c r="W217" i="21"/>
  <c r="I166" i="21"/>
  <c r="I178" i="21"/>
  <c r="W215" i="21"/>
  <c r="I148" i="21"/>
  <c r="W216" i="21"/>
  <c r="I133" i="21"/>
  <c r="I135" i="21"/>
  <c r="P133" i="21"/>
  <c r="P135" i="21"/>
  <c r="I164" i="21"/>
  <c r="I167" i="21"/>
  <c r="P97" i="21"/>
  <c r="P98" i="21"/>
  <c r="W97" i="21"/>
  <c r="W98" i="21"/>
  <c r="I130" i="21"/>
  <c r="I132" i="21"/>
  <c r="I97" i="21"/>
  <c r="I98" i="21"/>
  <c r="W219" i="21"/>
  <c r="P217" i="21"/>
  <c r="P130" i="21"/>
  <c r="P132" i="21"/>
  <c r="I179" i="21"/>
  <c r="I182" i="21"/>
  <c r="P73" i="21"/>
  <c r="P74" i="21"/>
  <c r="W130" i="21"/>
  <c r="W132" i="21"/>
  <c r="W73" i="21"/>
  <c r="W74" i="21"/>
  <c r="W164" i="21"/>
  <c r="W167" i="21"/>
  <c r="W126" i="21"/>
  <c r="W128" i="21"/>
  <c r="P136" i="21"/>
  <c r="I181" i="21"/>
  <c r="W179" i="21"/>
  <c r="W182" i="21"/>
  <c r="P178" i="21"/>
  <c r="P126" i="21"/>
  <c r="P128" i="21"/>
  <c r="I122" i="21"/>
  <c r="I124" i="21"/>
  <c r="W133" i="21"/>
  <c r="W135" i="21"/>
  <c r="W171" i="21"/>
  <c r="W174" i="21"/>
  <c r="I136" i="21"/>
  <c r="P164" i="21"/>
  <c r="P167" i="21"/>
  <c r="P179" i="21"/>
  <c r="P182" i="21"/>
  <c r="W122" i="21"/>
  <c r="W124" i="21"/>
  <c r="P216" i="21"/>
  <c r="P122" i="21"/>
  <c r="P124" i="21"/>
  <c r="P215" i="21"/>
  <c r="P171" i="21"/>
  <c r="P174" i="21"/>
  <c r="W136" i="21"/>
  <c r="W178" i="21"/>
  <c r="AA231" i="13"/>
  <c r="AK219" i="13"/>
  <c r="AJ219" i="13"/>
  <c r="AI219" i="13"/>
  <c r="F96" i="16"/>
  <c r="I96" i="16" s="1"/>
  <c r="AJ169" i="13"/>
  <c r="BS170" i="13"/>
  <c r="AK169" i="13"/>
  <c r="BT170" i="13"/>
  <c r="AI169" i="13"/>
  <c r="BR170" i="13"/>
  <c r="BD173" i="13"/>
  <c r="BE173" i="13" s="1"/>
  <c r="I168" i="5" s="1"/>
  <c r="I165" i="21" s="1"/>
  <c r="AI243" i="13"/>
  <c r="AI177" i="13" s="1"/>
  <c r="K81" i="11" s="1"/>
  <c r="F11" i="21"/>
  <c r="AF11" i="21" s="1"/>
  <c r="AC211" i="5"/>
  <c r="AC17" i="5"/>
  <c r="F17" i="21"/>
  <c r="AF17" i="21" s="1"/>
  <c r="AC55" i="5"/>
  <c r="F55" i="21"/>
  <c r="AF55" i="21" s="1"/>
  <c r="AC157" i="5"/>
  <c r="AC84" i="5"/>
  <c r="AC61" i="5"/>
  <c r="F61" i="21"/>
  <c r="AF61" i="21" s="1"/>
  <c r="AC177" i="5"/>
  <c r="F174" i="21"/>
  <c r="AF174" i="21" s="1"/>
  <c r="AC104" i="5"/>
  <c r="F104" i="21"/>
  <c r="AF104" i="21" s="1"/>
  <c r="AC219" i="5"/>
  <c r="F216" i="21"/>
  <c r="AF216" i="21" s="1"/>
  <c r="AC51" i="5"/>
  <c r="F51" i="21"/>
  <c r="AF51" i="21" s="1"/>
  <c r="AC107" i="5"/>
  <c r="F106" i="21"/>
  <c r="AF106" i="21" s="1"/>
  <c r="AC100" i="5"/>
  <c r="F100" i="21"/>
  <c r="AF100" i="21" s="1"/>
  <c r="AC175" i="5"/>
  <c r="F172" i="21"/>
  <c r="AF172" i="21" s="1"/>
  <c r="AC62" i="5"/>
  <c r="F62" i="21"/>
  <c r="AF62" i="21" s="1"/>
  <c r="AC98" i="5"/>
  <c r="F98" i="21"/>
  <c r="AF98" i="21" s="1"/>
  <c r="AC118" i="5"/>
  <c r="AC253" i="5" s="1"/>
  <c r="AC69" i="5"/>
  <c r="F69" i="21"/>
  <c r="AF69" i="21" s="1"/>
  <c r="AC183" i="5"/>
  <c r="F180" i="21"/>
  <c r="AF180" i="21" s="1"/>
  <c r="AC72" i="5"/>
  <c r="F72" i="21"/>
  <c r="AF72" i="21" s="1"/>
  <c r="AC26" i="5"/>
  <c r="F26" i="21"/>
  <c r="AF26" i="21" s="1"/>
  <c r="AC20" i="5"/>
  <c r="AC245" i="5" s="1"/>
  <c r="F20" i="21"/>
  <c r="AF20" i="21" s="1"/>
  <c r="AC58" i="5"/>
  <c r="F58" i="21"/>
  <c r="AF58" i="21" s="1"/>
  <c r="AC74" i="5"/>
  <c r="AC156" i="5"/>
  <c r="AF153" i="21"/>
  <c r="AC223" i="5"/>
  <c r="F220" i="21"/>
  <c r="AF220" i="21" s="1"/>
  <c r="AC200" i="5"/>
  <c r="AC181" i="5"/>
  <c r="F178" i="21"/>
  <c r="AF178" i="21" s="1"/>
  <c r="AC71" i="5"/>
  <c r="F70" i="21"/>
  <c r="AF70" i="21" s="1"/>
  <c r="K65" i="21"/>
  <c r="I31" i="21"/>
  <c r="AC27" i="5"/>
  <c r="F27" i="21"/>
  <c r="AF27" i="21" s="1"/>
  <c r="AC136" i="5"/>
  <c r="F135" i="21"/>
  <c r="AF135" i="21" s="1"/>
  <c r="AC141" i="5"/>
  <c r="F139" i="21"/>
  <c r="AF139" i="21" s="1"/>
  <c r="AC221" i="5"/>
  <c r="F218" i="21"/>
  <c r="AF218" i="21" s="1"/>
  <c r="AC97" i="5"/>
  <c r="F97" i="21"/>
  <c r="AF97" i="21" s="1"/>
  <c r="AC18" i="5"/>
  <c r="F18" i="21"/>
  <c r="AF18" i="21" s="1"/>
  <c r="AC201" i="5"/>
  <c r="AF210" i="21"/>
  <c r="AC170" i="5"/>
  <c r="F167" i="21"/>
  <c r="AF167" i="21" s="1"/>
  <c r="AC130" i="5"/>
  <c r="F129" i="21"/>
  <c r="AF129" i="21" s="1"/>
  <c r="AC66" i="5"/>
  <c r="AC250" i="5" s="1"/>
  <c r="F66" i="21"/>
  <c r="AF66" i="21" s="1"/>
  <c r="AC52" i="5"/>
  <c r="F52" i="21"/>
  <c r="AF52" i="21" s="1"/>
  <c r="AC33" i="5"/>
  <c r="F33" i="21"/>
  <c r="AF33" i="21" s="1"/>
  <c r="AC159" i="5"/>
  <c r="AF156" i="21"/>
  <c r="AC78" i="5"/>
  <c r="AC186" i="5"/>
  <c r="AC41" i="5"/>
  <c r="F41" i="21"/>
  <c r="AF41" i="21" s="1"/>
  <c r="AC173" i="5"/>
  <c r="F170" i="21"/>
  <c r="AF170" i="21" s="1"/>
  <c r="AC164" i="5"/>
  <c r="AC31" i="5"/>
  <c r="AC247" i="5" s="1"/>
  <c r="F31" i="21"/>
  <c r="AF31" i="21" s="1"/>
  <c r="AC109" i="5"/>
  <c r="F108" i="21"/>
  <c r="AF108" i="21" s="1"/>
  <c r="AC122" i="5"/>
  <c r="F121" i="21"/>
  <c r="AF121" i="21" s="1"/>
  <c r="AC82" i="5"/>
  <c r="F82" i="21"/>
  <c r="AF82" i="21" s="1"/>
  <c r="AC88" i="5"/>
  <c r="AC32" i="5"/>
  <c r="F32" i="21"/>
  <c r="AF32" i="21" s="1"/>
  <c r="AC75" i="5"/>
  <c r="F75" i="21"/>
  <c r="AF75" i="21" s="1"/>
  <c r="AC206" i="5"/>
  <c r="AC166" i="5"/>
  <c r="AC126" i="5"/>
  <c r="F125" i="21"/>
  <c r="AF125" i="21" s="1"/>
  <c r="AC15" i="5"/>
  <c r="F15" i="21"/>
  <c r="AF15" i="21" s="1"/>
  <c r="AC124" i="5"/>
  <c r="F123" i="21"/>
  <c r="AF123" i="21" s="1"/>
  <c r="AB35" i="21"/>
  <c r="W16" i="21"/>
  <c r="AC128" i="5"/>
  <c r="F127" i="21"/>
  <c r="AF127" i="21" s="1"/>
  <c r="AC86" i="5"/>
  <c r="F86" i="21"/>
  <c r="AF86" i="21" s="1"/>
  <c r="AB210" i="21"/>
  <c r="AB95" i="21"/>
  <c r="AB104" i="21"/>
  <c r="AI183" i="13"/>
  <c r="AK183" i="13"/>
  <c r="AJ183" i="13"/>
  <c r="AJ201" i="13"/>
  <c r="AI201" i="13"/>
  <c r="AK201" i="13"/>
  <c r="AJ81" i="13"/>
  <c r="AI81" i="13"/>
  <c r="AK81" i="13"/>
  <c r="AJ210" i="13"/>
  <c r="AK210" i="13"/>
  <c r="AI210" i="13"/>
  <c r="BJ312" i="13"/>
  <c r="BS306" i="13" s="1"/>
  <c r="AD49" i="11" s="1"/>
  <c r="BI302" i="13"/>
  <c r="BR298" i="13" s="1"/>
  <c r="AK59" i="13"/>
  <c r="BD11" i="13"/>
  <c r="BE11" i="13" s="1"/>
  <c r="I12" i="5" s="1"/>
  <c r="I12" i="21" s="1"/>
  <c r="BK299" i="13"/>
  <c r="BJ323" i="13"/>
  <c r="BS312" i="13" s="1"/>
  <c r="AD55" i="11" s="1"/>
  <c r="BK312" i="13"/>
  <c r="BT306" i="13" s="1"/>
  <c r="AE49" i="11" s="1"/>
  <c r="BK323" i="13"/>
  <c r="BT312" i="13" s="1"/>
  <c r="AE55" i="11" s="1"/>
  <c r="AJ59" i="13"/>
  <c r="I247" i="5"/>
  <c r="BI312" i="13"/>
  <c r="BR306" i="13" s="1"/>
  <c r="AC49" i="11" s="1"/>
  <c r="BI299" i="13"/>
  <c r="BJ302" i="13"/>
  <c r="BS298" i="13" s="1"/>
  <c r="BJ299" i="13"/>
  <c r="AK90" i="13"/>
  <c r="BI323" i="13"/>
  <c r="BR312" i="13" s="1"/>
  <c r="AC55" i="11" s="1"/>
  <c r="AP91" i="13"/>
  <c r="BB91" i="13" s="1"/>
  <c r="AO91" i="13"/>
  <c r="BA91" i="13" s="1"/>
  <c r="AN91" i="13"/>
  <c r="AZ91" i="13" s="1"/>
  <c r="AQ91" i="13"/>
  <c r="BC91" i="13" s="1"/>
  <c r="AK16" i="13"/>
  <c r="BH29" i="13"/>
  <c r="P30" i="5" s="1"/>
  <c r="P30" i="21" s="1"/>
  <c r="BH32" i="13"/>
  <c r="P33" i="5" s="1"/>
  <c r="P33" i="21" s="1"/>
  <c r="AI75" i="13"/>
  <c r="AJ30" i="13"/>
  <c r="AK51" i="13"/>
  <c r="BJ114" i="13"/>
  <c r="BK114" i="13" s="1"/>
  <c r="BK294" i="13"/>
  <c r="AK113" i="13"/>
  <c r="AK123" i="13" s="1"/>
  <c r="W115" i="5" s="1"/>
  <c r="W115" i="21" s="1"/>
  <c r="BD114" i="13"/>
  <c r="AJ26" i="13"/>
  <c r="AK10" i="13"/>
  <c r="AK26" i="13"/>
  <c r="AK100" i="13"/>
  <c r="AK110" i="13" s="1"/>
  <c r="W101" i="5" s="1"/>
  <c r="W101" i="21" s="1"/>
  <c r="BJ316" i="13"/>
  <c r="BK318" i="13"/>
  <c r="AJ51" i="13"/>
  <c r="AJ10" i="13"/>
  <c r="BI318" i="13"/>
  <c r="AD143" i="13"/>
  <c r="AG143" i="13" s="1"/>
  <c r="C41" i="11"/>
  <c r="AD229" i="13"/>
  <c r="C45" i="11"/>
  <c r="AD114" i="13"/>
  <c r="AE114" i="13" s="1"/>
  <c r="H105" i="5" s="1"/>
  <c r="C40" i="11"/>
  <c r="BJ294" i="13"/>
  <c r="AK148" i="13"/>
  <c r="AI51" i="13"/>
  <c r="AI10" i="13"/>
  <c r="AJ148" i="13"/>
  <c r="AJ100" i="13"/>
  <c r="AJ110" i="13" s="1"/>
  <c r="F39" i="11" s="1"/>
  <c r="BE73" i="13"/>
  <c r="I71" i="5" s="1"/>
  <c r="I71" i="21" s="1"/>
  <c r="AI100" i="13"/>
  <c r="AI110" i="13" s="1"/>
  <c r="D39" i="11" s="1"/>
  <c r="AK19" i="13"/>
  <c r="AI113" i="13"/>
  <c r="AI123" i="13" s="1"/>
  <c r="AJ90" i="13"/>
  <c r="BJ318" i="13"/>
  <c r="AJ86" i="13"/>
  <c r="AJ155" i="13"/>
  <c r="AJ166" i="13" s="1"/>
  <c r="P160" i="5" s="1"/>
  <c r="P160" i="21" s="1"/>
  <c r="AJ16" i="13"/>
  <c r="BG163" i="13"/>
  <c r="BR73" i="13"/>
  <c r="BK300" i="13"/>
  <c r="AI69" i="13"/>
  <c r="BH73" i="13"/>
  <c r="P71" i="5" s="1"/>
  <c r="P71" i="21" s="1"/>
  <c r="AI148" i="13"/>
  <c r="AK86" i="13"/>
  <c r="AK69" i="13"/>
  <c r="AI86" i="13"/>
  <c r="AJ69" i="13"/>
  <c r="AI90" i="13"/>
  <c r="AK30" i="13"/>
  <c r="BK32" i="13"/>
  <c r="W33" i="5" s="1"/>
  <c r="BE163" i="13"/>
  <c r="I157" i="5" s="1"/>
  <c r="BI316" i="13"/>
  <c r="BJ73" i="13"/>
  <c r="BE32" i="13"/>
  <c r="I33" i="5" s="1"/>
  <c r="I33" i="21" s="1"/>
  <c r="AJ113" i="13"/>
  <c r="AJ123" i="13" s="1"/>
  <c r="P115" i="5" s="1"/>
  <c r="P115" i="21" s="1"/>
  <c r="AI30" i="13"/>
  <c r="AI26" i="13"/>
  <c r="BI300" i="13"/>
  <c r="BG114" i="13"/>
  <c r="BH114" i="13" s="1"/>
  <c r="BS73" i="13"/>
  <c r="AK39" i="13"/>
  <c r="AJ39" i="13"/>
  <c r="AI39" i="13"/>
  <c r="I255" i="5"/>
  <c r="BK322" i="13"/>
  <c r="BI315" i="13"/>
  <c r="BK307" i="13"/>
  <c r="BT302" i="13" s="1"/>
  <c r="AE45" i="11" s="1"/>
  <c r="BE12" i="13"/>
  <c r="I13" i="5" s="1"/>
  <c r="BH12" i="13"/>
  <c r="P13" i="5" s="1"/>
  <c r="P13" i="21" s="1"/>
  <c r="BK12" i="13"/>
  <c r="W13" i="5" s="1"/>
  <c r="W13" i="21" s="1"/>
  <c r="AD115" i="13"/>
  <c r="BK315" i="13"/>
  <c r="BJ307" i="13"/>
  <c r="BS302" i="13" s="1"/>
  <c r="AD45" i="11" s="1"/>
  <c r="AB166" i="13"/>
  <c r="AB208" i="13"/>
  <c r="AK138" i="13"/>
  <c r="AJ138" i="13"/>
  <c r="AI138" i="13"/>
  <c r="BI307" i="13"/>
  <c r="BR302" i="13" s="1"/>
  <c r="AC45" i="11" s="1"/>
  <c r="AD122" i="13"/>
  <c r="AF122" i="13" s="1"/>
  <c r="I256" i="5"/>
  <c r="AD118" i="13"/>
  <c r="AE118" i="13" s="1"/>
  <c r="AD116" i="13"/>
  <c r="AF116" i="13" s="1"/>
  <c r="AD119" i="13"/>
  <c r="AG119" i="13" s="1"/>
  <c r="AD113" i="13"/>
  <c r="AD117" i="13"/>
  <c r="AD121" i="13"/>
  <c r="AD120" i="13"/>
  <c r="AG120" i="13" s="1"/>
  <c r="BI321" i="13"/>
  <c r="BI317" i="13"/>
  <c r="F87" i="16"/>
  <c r="I87" i="16" s="1"/>
  <c r="F199" i="5"/>
  <c r="F200" i="21" s="1"/>
  <c r="AF200" i="21" s="1"/>
  <c r="F38" i="5"/>
  <c r="AB79" i="13"/>
  <c r="F79" i="5"/>
  <c r="AB197" i="13"/>
  <c r="Z208" i="13"/>
  <c r="BI326" i="13"/>
  <c r="BR315" i="13" s="1"/>
  <c r="AC58" i="11" s="1"/>
  <c r="BJ326" i="13"/>
  <c r="BS315" i="13" s="1"/>
  <c r="AD58" i="11" s="1"/>
  <c r="AI166" i="13"/>
  <c r="BK317" i="13"/>
  <c r="BK326" i="13"/>
  <c r="BT315" i="13" s="1"/>
  <c r="AE58" i="11" s="1"/>
  <c r="BK151" i="13"/>
  <c r="W144" i="5" s="1"/>
  <c r="BH156" i="13"/>
  <c r="BJ321" i="13"/>
  <c r="BJ315" i="13"/>
  <c r="BK321" i="13"/>
  <c r="AK166" i="13"/>
  <c r="W160" i="5" s="1"/>
  <c r="W160" i="21" s="1"/>
  <c r="AK179" i="13"/>
  <c r="BJ181" i="13"/>
  <c r="AI179" i="13"/>
  <c r="BD181" i="13"/>
  <c r="AJ179" i="13"/>
  <c r="BG181" i="13"/>
  <c r="BS173" i="13"/>
  <c r="BG173" i="13"/>
  <c r="BT173" i="13"/>
  <c r="BJ173" i="13"/>
  <c r="BK311" i="13"/>
  <c r="BT305" i="13" s="1"/>
  <c r="AE48" i="11" s="1"/>
  <c r="BE22" i="13"/>
  <c r="I23" i="5" s="1"/>
  <c r="I23" i="21" s="1"/>
  <c r="BK22" i="13"/>
  <c r="W23" i="5" s="1"/>
  <c r="BH22" i="13"/>
  <c r="P23" i="5" s="1"/>
  <c r="P23" i="21" s="1"/>
  <c r="I254" i="5"/>
  <c r="I174" i="5"/>
  <c r="BJ311" i="13"/>
  <c r="BS305" i="13" s="1"/>
  <c r="AD48" i="11" s="1"/>
  <c r="BI311" i="13"/>
  <c r="BR305" i="13" s="1"/>
  <c r="AC48" i="11" s="1"/>
  <c r="AI171" i="13"/>
  <c r="BR173" i="13"/>
  <c r="I246" i="5"/>
  <c r="AB213" i="13"/>
  <c r="I127" i="5"/>
  <c r="I127" i="21" s="1"/>
  <c r="F145" i="5"/>
  <c r="F145" i="21" s="1"/>
  <c r="AF145" i="21" s="1"/>
  <c r="AD131" i="13"/>
  <c r="AD144" i="13"/>
  <c r="AD142" i="13"/>
  <c r="AF142" i="13" s="1"/>
  <c r="AD141" i="13"/>
  <c r="AG141" i="13" s="1"/>
  <c r="AB66" i="13"/>
  <c r="C37" i="11" s="1"/>
  <c r="AD126" i="13"/>
  <c r="AD150" i="13"/>
  <c r="AE150" i="13" s="1"/>
  <c r="H143" i="5" s="1"/>
  <c r="AD128" i="13"/>
  <c r="AF128" i="13" s="1"/>
  <c r="AD133" i="13"/>
  <c r="AF133" i="13" s="1"/>
  <c r="AD134" i="13"/>
  <c r="AD135" i="13"/>
  <c r="AD129" i="13"/>
  <c r="AG129" i="13" s="1"/>
  <c r="AD138" i="13"/>
  <c r="AD151" i="13"/>
  <c r="AG151" i="13" s="1"/>
  <c r="AD140" i="13"/>
  <c r="AG140" i="13" s="1"/>
  <c r="AD130" i="13"/>
  <c r="AD136" i="13"/>
  <c r="AF136" i="13" s="1"/>
  <c r="AD127" i="13"/>
  <c r="AD139" i="13"/>
  <c r="AD148" i="13"/>
  <c r="AD147" i="13"/>
  <c r="AF147" i="13" s="1"/>
  <c r="AD145" i="13"/>
  <c r="AE145" i="13" s="1"/>
  <c r="AD149" i="13"/>
  <c r="AE149" i="13" s="1"/>
  <c r="AD137" i="13"/>
  <c r="AG137" i="13" s="1"/>
  <c r="AD132" i="13"/>
  <c r="AG132" i="13" s="1"/>
  <c r="AD146" i="13"/>
  <c r="AF146" i="13" s="1"/>
  <c r="F17" i="16"/>
  <c r="I17" i="16" s="1"/>
  <c r="P16" i="5"/>
  <c r="P16" i="21" s="1"/>
  <c r="I250" i="5"/>
  <c r="AK243" i="13"/>
  <c r="F163" i="5"/>
  <c r="F163" i="21" s="1"/>
  <c r="AF163" i="21" s="1"/>
  <c r="F75" i="16"/>
  <c r="I75" i="16" s="1"/>
  <c r="AJ243" i="13"/>
  <c r="AJ171" i="13"/>
  <c r="AK171" i="13"/>
  <c r="BI313" i="13"/>
  <c r="BR307" i="13" s="1"/>
  <c r="AC50" i="11" s="1"/>
  <c r="BJ313" i="13"/>
  <c r="BS307" i="13" s="1"/>
  <c r="AD50" i="11" s="1"/>
  <c r="BK313" i="13"/>
  <c r="BT307" i="13" s="1"/>
  <c r="AE50" i="11" s="1"/>
  <c r="AI204" i="13"/>
  <c r="AJ204" i="13"/>
  <c r="F46" i="5"/>
  <c r="F18" i="16"/>
  <c r="I18" i="16" s="1"/>
  <c r="AK204" i="13"/>
  <c r="BH128" i="13"/>
  <c r="P120" i="5" s="1"/>
  <c r="P120" i="21" s="1"/>
  <c r="BG24" i="13"/>
  <c r="BH24" i="13" s="1"/>
  <c r="P25" i="5" s="1"/>
  <c r="P25" i="21" s="1"/>
  <c r="BJ24" i="13"/>
  <c r="BK24" i="13" s="1"/>
  <c r="W25" i="5" s="1"/>
  <c r="W25" i="21" s="1"/>
  <c r="BE128" i="13"/>
  <c r="I120" i="5" s="1"/>
  <c r="I120" i="21" s="1"/>
  <c r="I172" i="5"/>
  <c r="BH158" i="13"/>
  <c r="BJ319" i="13" s="1"/>
  <c r="BK158" i="13"/>
  <c r="BK319" i="13"/>
  <c r="BK113" i="13"/>
  <c r="W104" i="5" s="1"/>
  <c r="W104" i="21" s="1"/>
  <c r="BE158" i="13"/>
  <c r="BI319" i="13" s="1"/>
  <c r="BK128" i="13"/>
  <c r="W120" i="5" s="1"/>
  <c r="W120" i="21" s="1"/>
  <c r="BD24" i="13"/>
  <c r="BH25" i="13"/>
  <c r="P26" i="5" s="1"/>
  <c r="P26" i="21" s="1"/>
  <c r="BK25" i="13"/>
  <c r="W26" i="5" s="1"/>
  <c r="W26" i="21" s="1"/>
  <c r="BE25" i="13"/>
  <c r="I26" i="5" s="1"/>
  <c r="I26" i="21" s="1"/>
  <c r="F195" i="5"/>
  <c r="AD13" i="13"/>
  <c r="AG13" i="13" s="1"/>
  <c r="AD23" i="13"/>
  <c r="AD24" i="13"/>
  <c r="I24" i="5"/>
  <c r="I24" i="21" s="1"/>
  <c r="AE139" i="13"/>
  <c r="AG139" i="13"/>
  <c r="AF139" i="13"/>
  <c r="AE131" i="13"/>
  <c r="AG131" i="13"/>
  <c r="AF131" i="13"/>
  <c r="AG135" i="13"/>
  <c r="AE135" i="13"/>
  <c r="AF135" i="13"/>
  <c r="AE127" i="13"/>
  <c r="AG127" i="13"/>
  <c r="AF127" i="13"/>
  <c r="I171" i="5"/>
  <c r="AG193" i="13"/>
  <c r="AF193" i="13"/>
  <c r="AE193" i="13"/>
  <c r="AE176" i="13"/>
  <c r="AG176" i="13"/>
  <c r="AE172" i="13"/>
  <c r="AF172" i="13"/>
  <c r="AG172" i="13"/>
  <c r="AG180" i="13"/>
  <c r="AE180" i="13"/>
  <c r="AF180" i="13"/>
  <c r="AG184" i="13"/>
  <c r="AE184" i="13"/>
  <c r="AF184" i="13"/>
  <c r="AE190" i="13"/>
  <c r="AF190" i="13"/>
  <c r="AG190" i="13"/>
  <c r="AD224" i="13"/>
  <c r="AG224" i="13" s="1"/>
  <c r="AD22" i="13"/>
  <c r="AE22" i="13" s="1"/>
  <c r="H23" i="5" s="1"/>
  <c r="H23" i="21" s="1"/>
  <c r="F14" i="16"/>
  <c r="I14" i="16" s="1"/>
  <c r="AD230" i="13"/>
  <c r="AF230" i="13" s="1"/>
  <c r="F68" i="16"/>
  <c r="I68" i="16" s="1"/>
  <c r="F148" i="5"/>
  <c r="AD31" i="13"/>
  <c r="AF31" i="13" s="1"/>
  <c r="AD11" i="13"/>
  <c r="AF11" i="13" s="1"/>
  <c r="AD30" i="13"/>
  <c r="AD25" i="13"/>
  <c r="AE25" i="13" s="1"/>
  <c r="AD17" i="13"/>
  <c r="AE17" i="13" s="1"/>
  <c r="H18" i="5" s="1"/>
  <c r="AD21" i="13"/>
  <c r="AE21" i="13" s="1"/>
  <c r="H22" i="5" s="1"/>
  <c r="H22" i="21" s="1"/>
  <c r="AD16" i="13"/>
  <c r="AD26" i="13"/>
  <c r="AD10" i="13"/>
  <c r="AD20" i="13"/>
  <c r="AF20" i="13" s="1"/>
  <c r="AD29" i="13"/>
  <c r="AE29" i="13" s="1"/>
  <c r="H30" i="5" s="1"/>
  <c r="H30" i="21" s="1"/>
  <c r="AD33" i="13"/>
  <c r="AE33" i="13" s="1"/>
  <c r="H34" i="5" s="1"/>
  <c r="H34" i="21" s="1"/>
  <c r="AD15" i="13"/>
  <c r="AE15" i="13" s="1"/>
  <c r="H16" i="5" s="1"/>
  <c r="H16" i="21" s="1"/>
  <c r="AD19" i="13"/>
  <c r="AD28" i="13"/>
  <c r="AG28" i="13" s="1"/>
  <c r="AD12" i="13"/>
  <c r="AE12" i="13" s="1"/>
  <c r="H13" i="5" s="1"/>
  <c r="H13" i="21" s="1"/>
  <c r="AD14" i="13"/>
  <c r="AE14" i="13" s="1"/>
  <c r="H15" i="5" s="1"/>
  <c r="H15" i="21" s="1"/>
  <c r="F35" i="5"/>
  <c r="AD32" i="13"/>
  <c r="AE32" i="13" s="1"/>
  <c r="H33" i="5" s="1"/>
  <c r="H33" i="21" s="1"/>
  <c r="AD27" i="13"/>
  <c r="AG27" i="13" s="1"/>
  <c r="AD18" i="13"/>
  <c r="AF18" i="13" s="1"/>
  <c r="F95" i="5"/>
  <c r="F96" i="21" s="1"/>
  <c r="AF96" i="21" s="1"/>
  <c r="AB110" i="13"/>
  <c r="C39" i="11" s="1"/>
  <c r="F43" i="16"/>
  <c r="BE65" i="13"/>
  <c r="BH113" i="13"/>
  <c r="P104" i="5" s="1"/>
  <c r="P104" i="21" s="1"/>
  <c r="BE226" i="13"/>
  <c r="I220" i="5" s="1"/>
  <c r="BE225" i="13"/>
  <c r="I219" i="5" s="1"/>
  <c r="BE221" i="13"/>
  <c r="I215" i="5" s="1"/>
  <c r="BE218" i="13"/>
  <c r="I212" i="5" s="1"/>
  <c r="BE224" i="13"/>
  <c r="I218" i="5" s="1"/>
  <c r="BE222" i="13"/>
  <c r="I216" i="5" s="1"/>
  <c r="BE228" i="13"/>
  <c r="I222" i="5" s="1"/>
  <c r="BE113" i="13"/>
  <c r="I104" i="5" s="1"/>
  <c r="I104" i="21" s="1"/>
  <c r="BE46" i="13"/>
  <c r="I46" i="5" s="1"/>
  <c r="I46" i="21" s="1"/>
  <c r="BG227" i="13"/>
  <c r="BH227" i="13" s="1"/>
  <c r="P221" i="5" s="1"/>
  <c r="P222" i="21" s="1"/>
  <c r="BG229" i="13"/>
  <c r="BH229" i="13" s="1"/>
  <c r="P223" i="5" s="1"/>
  <c r="P224" i="21" s="1"/>
  <c r="BD229" i="13"/>
  <c r="BG219" i="13"/>
  <c r="BH219" i="13" s="1"/>
  <c r="P213" i="5" s="1"/>
  <c r="BJ227" i="13"/>
  <c r="BK227" i="13" s="1"/>
  <c r="W221" i="5" s="1"/>
  <c r="W222" i="21" s="1"/>
  <c r="BD219" i="13"/>
  <c r="BJ219" i="13"/>
  <c r="BK219" i="13" s="1"/>
  <c r="W213" i="5" s="1"/>
  <c r="BD227" i="13"/>
  <c r="BJ217" i="13"/>
  <c r="BK217" i="13" s="1"/>
  <c r="W211" i="5" s="1"/>
  <c r="W212" i="21" s="1"/>
  <c r="BG217" i="13"/>
  <c r="BH217" i="13" s="1"/>
  <c r="P211" i="5" s="1"/>
  <c r="P212" i="21" s="1"/>
  <c r="BD217" i="13"/>
  <c r="I154" i="5"/>
  <c r="I73" i="5"/>
  <c r="I61" i="5"/>
  <c r="BG155" i="13"/>
  <c r="BH155" i="13" s="1"/>
  <c r="P148" i="5" s="1"/>
  <c r="BJ155" i="13"/>
  <c r="BK155" i="13" s="1"/>
  <c r="W148" i="5" s="1"/>
  <c r="I27" i="5"/>
  <c r="I27" i="21" s="1"/>
  <c r="AD228" i="13"/>
  <c r="AD226" i="13"/>
  <c r="AD227" i="13"/>
  <c r="F65" i="16"/>
  <c r="I65" i="16" s="1"/>
  <c r="AD217" i="13"/>
  <c r="AF217" i="13" s="1"/>
  <c r="AD220" i="13"/>
  <c r="AD221" i="13"/>
  <c r="AD218" i="13"/>
  <c r="AD225" i="13"/>
  <c r="AD222" i="13"/>
  <c r="AD223" i="13"/>
  <c r="F225" i="5"/>
  <c r="AD219" i="13"/>
  <c r="I94" i="16"/>
  <c r="P105" i="5" l="1"/>
  <c r="P106" i="21" s="1"/>
  <c r="W107" i="21"/>
  <c r="W105" i="5"/>
  <c r="P151" i="21"/>
  <c r="P149" i="5"/>
  <c r="AJ221" i="13"/>
  <c r="AI221" i="13"/>
  <c r="AK221" i="13"/>
  <c r="I61" i="21"/>
  <c r="I62" i="21"/>
  <c r="I157" i="21"/>
  <c r="I158" i="21"/>
  <c r="I155" i="21"/>
  <c r="AC213" i="5"/>
  <c r="I168" i="21"/>
  <c r="AJ50" i="13"/>
  <c r="AJ48" i="13"/>
  <c r="AJ49" i="13"/>
  <c r="L59" i="11" s="1"/>
  <c r="AK48" i="13"/>
  <c r="AK49" i="13"/>
  <c r="M59" i="11" s="1"/>
  <c r="BJ236" i="13"/>
  <c r="BG236" i="13"/>
  <c r="BH236" i="13" s="1"/>
  <c r="P47" i="5" s="1"/>
  <c r="AI49" i="13"/>
  <c r="K59" i="11" s="1"/>
  <c r="AI50" i="13"/>
  <c r="BD236" i="13"/>
  <c r="F107" i="16"/>
  <c r="I107" i="16" s="1"/>
  <c r="AC47" i="5"/>
  <c r="F47" i="21"/>
  <c r="AF47" i="21" s="1"/>
  <c r="AF222" i="21"/>
  <c r="F225" i="21"/>
  <c r="P220" i="21"/>
  <c r="P223" i="21"/>
  <c r="W142" i="21"/>
  <c r="W144" i="21"/>
  <c r="F148" i="21"/>
  <c r="AF148" i="21" s="1"/>
  <c r="F149" i="21"/>
  <c r="AF149" i="21" s="1"/>
  <c r="F164" i="21"/>
  <c r="AF164" i="21" s="1"/>
  <c r="W214" i="21"/>
  <c r="I169" i="21"/>
  <c r="I173" i="21"/>
  <c r="P214" i="21"/>
  <c r="I217" i="21"/>
  <c r="I219" i="21"/>
  <c r="W213" i="21"/>
  <c r="P70" i="21"/>
  <c r="P72" i="21"/>
  <c r="I70" i="21"/>
  <c r="I72" i="21"/>
  <c r="P148" i="21"/>
  <c r="I119" i="21"/>
  <c r="I121" i="21"/>
  <c r="P213" i="21"/>
  <c r="I215" i="21"/>
  <c r="P211" i="21"/>
  <c r="W105" i="21"/>
  <c r="W211" i="21"/>
  <c r="P119" i="21"/>
  <c r="P121" i="21"/>
  <c r="W218" i="21"/>
  <c r="W221" i="21"/>
  <c r="I216" i="21"/>
  <c r="W119" i="21"/>
  <c r="W121" i="21"/>
  <c r="P105" i="21"/>
  <c r="P107" i="21"/>
  <c r="I171" i="21"/>
  <c r="I174" i="21"/>
  <c r="I126" i="21"/>
  <c r="I128" i="21"/>
  <c r="W148" i="21"/>
  <c r="I73" i="21"/>
  <c r="I74" i="21"/>
  <c r="P218" i="21"/>
  <c r="P221" i="21"/>
  <c r="AG114" i="13"/>
  <c r="AF114" i="13"/>
  <c r="AC195" i="5"/>
  <c r="AB43" i="21"/>
  <c r="W23" i="21"/>
  <c r="AC95" i="5"/>
  <c r="AC251" i="5" s="1"/>
  <c r="F95" i="21"/>
  <c r="AF95" i="21" s="1"/>
  <c r="AC35" i="5"/>
  <c r="F35" i="21"/>
  <c r="AF35" i="21" s="1"/>
  <c r="J37" i="21"/>
  <c r="H18" i="21"/>
  <c r="AB67" i="21"/>
  <c r="W33" i="21"/>
  <c r="AC79" i="5"/>
  <c r="F79" i="21"/>
  <c r="AF79" i="21" s="1"/>
  <c r="AC145" i="5"/>
  <c r="AF143" i="21"/>
  <c r="AC38" i="5"/>
  <c r="F38" i="21"/>
  <c r="AF38" i="21" s="1"/>
  <c r="AC148" i="5"/>
  <c r="AC258" i="5" s="1"/>
  <c r="AF146" i="21"/>
  <c r="AC199" i="5"/>
  <c r="F196" i="21"/>
  <c r="AF196" i="21" s="1"/>
  <c r="AC46" i="5"/>
  <c r="AC235" i="5" s="1"/>
  <c r="F46" i="21"/>
  <c r="AF46" i="21" s="1"/>
  <c r="I13" i="21"/>
  <c r="AC163" i="5"/>
  <c r="AB220" i="21"/>
  <c r="BS309" i="13"/>
  <c r="AD52" i="11" s="1"/>
  <c r="I18" i="3"/>
  <c r="AE119" i="13"/>
  <c r="H111" i="5" s="1"/>
  <c r="BT296" i="13"/>
  <c r="AE39" i="11" s="1"/>
  <c r="BI294" i="13"/>
  <c r="AF120" i="13"/>
  <c r="AE120" i="13"/>
  <c r="H112" i="5" s="1"/>
  <c r="BJ91" i="13"/>
  <c r="BK91" i="13" s="1"/>
  <c r="W88" i="5" s="1"/>
  <c r="AJ213" i="13"/>
  <c r="AI213" i="13"/>
  <c r="AK213" i="13"/>
  <c r="AK178" i="13"/>
  <c r="M82" i="11" s="1"/>
  <c r="AK177" i="13"/>
  <c r="AI178" i="13"/>
  <c r="BR177" i="13"/>
  <c r="AJ178" i="13"/>
  <c r="L82" i="11" s="1"/>
  <c r="AJ177" i="13"/>
  <c r="BR296" i="13"/>
  <c r="AC39" i="11" s="1"/>
  <c r="AE11" i="13"/>
  <c r="H12" i="5" s="1"/>
  <c r="H12" i="21" s="1"/>
  <c r="BK310" i="13"/>
  <c r="BT304" i="13" s="1"/>
  <c r="AE47" i="11" s="1"/>
  <c r="BI298" i="13"/>
  <c r="BK308" i="13"/>
  <c r="BT303" i="13" s="1"/>
  <c r="AE46" i="11" s="1"/>
  <c r="BK298" i="13"/>
  <c r="T264" i="13"/>
  <c r="BI310" i="13"/>
  <c r="BR304" i="13" s="1"/>
  <c r="AC47" i="11" s="1"/>
  <c r="BK301" i="13"/>
  <c r="BT297" i="13" s="1"/>
  <c r="AE40" i="11" s="1"/>
  <c r="BK296" i="13"/>
  <c r="BJ305" i="13"/>
  <c r="BS300" i="13" s="1"/>
  <c r="AD43" i="11" s="1"/>
  <c r="BJ301" i="13"/>
  <c r="BS297" i="13" s="1"/>
  <c r="AD40" i="11" s="1"/>
  <c r="BK295" i="13"/>
  <c r="BT294" i="13" s="1"/>
  <c r="AE37" i="11" s="1"/>
  <c r="BI322" i="13"/>
  <c r="BR311" i="13" s="1"/>
  <c r="AC54" i="11" s="1"/>
  <c r="BJ300" i="13"/>
  <c r="BS296" i="13" s="1"/>
  <c r="AD39" i="11" s="1"/>
  <c r="BI296" i="13"/>
  <c r="BJ295" i="13"/>
  <c r="BS294" i="13" s="1"/>
  <c r="AD37" i="11" s="1"/>
  <c r="BJ317" i="13"/>
  <c r="BD91" i="13"/>
  <c r="BE91" i="13" s="1"/>
  <c r="BI301" i="13"/>
  <c r="BR297" i="13" s="1"/>
  <c r="AC40" i="11" s="1"/>
  <c r="BI295" i="13"/>
  <c r="BK316" i="13"/>
  <c r="BT309" i="13" s="1"/>
  <c r="AE52" i="11" s="1"/>
  <c r="BJ296" i="13"/>
  <c r="BJ298" i="13"/>
  <c r="BJ310" i="13"/>
  <c r="BS304" i="13" s="1"/>
  <c r="AD47" i="11" s="1"/>
  <c r="BI324" i="13"/>
  <c r="BR313" i="13" s="1"/>
  <c r="AC56" i="11" s="1"/>
  <c r="BI305" i="13"/>
  <c r="BR300" i="13" s="1"/>
  <c r="AC43" i="11" s="1"/>
  <c r="BG91" i="13"/>
  <c r="BH91" i="13" s="1"/>
  <c r="BE114" i="13"/>
  <c r="AF143" i="13"/>
  <c r="O135" i="5" s="1"/>
  <c r="AJ36" i="13"/>
  <c r="P35" i="5" s="1"/>
  <c r="P35" i="21" s="1"/>
  <c r="AE143" i="13"/>
  <c r="H135" i="5" s="1"/>
  <c r="AG227" i="13"/>
  <c r="AF229" i="13"/>
  <c r="AG229" i="13"/>
  <c r="V223" i="5" s="1"/>
  <c r="I101" i="5"/>
  <c r="I101" i="21" s="1"/>
  <c r="AK152" i="13"/>
  <c r="H41" i="11" s="1"/>
  <c r="I41" i="11" s="1"/>
  <c r="M41" i="11" s="1"/>
  <c r="AF28" i="11" s="1"/>
  <c r="AI36" i="13"/>
  <c r="D36" i="11" s="1"/>
  <c r="E36" i="11" s="1"/>
  <c r="K36" i="11" s="1"/>
  <c r="AD23" i="11" s="1"/>
  <c r="AJ152" i="13"/>
  <c r="F41" i="11" s="1"/>
  <c r="G41" i="11" s="1"/>
  <c r="L41" i="11" s="1"/>
  <c r="AE28" i="11" s="1"/>
  <c r="AD161" i="13"/>
  <c r="AE161" i="13" s="1"/>
  <c r="C42" i="11"/>
  <c r="AD195" i="13"/>
  <c r="AF195" i="13" s="1"/>
  <c r="C43" i="11"/>
  <c r="AG118" i="13"/>
  <c r="AG117" i="13" s="1"/>
  <c r="AI152" i="13"/>
  <c r="I145" i="5" s="1"/>
  <c r="I145" i="21" s="1"/>
  <c r="AK36" i="13"/>
  <c r="W35" i="5" s="1"/>
  <c r="W35" i="21" s="1"/>
  <c r="AE116" i="13"/>
  <c r="AE115" i="13" s="1"/>
  <c r="AG116" i="13"/>
  <c r="AG115" i="13" s="1"/>
  <c r="AD157" i="13"/>
  <c r="AE157" i="13" s="1"/>
  <c r="H151" i="5" s="1"/>
  <c r="AD164" i="13"/>
  <c r="AD158" i="13"/>
  <c r="AE158" i="13" s="1"/>
  <c r="H152" i="5" s="1"/>
  <c r="F191" i="5"/>
  <c r="AD165" i="13"/>
  <c r="AE165" i="13" s="1"/>
  <c r="AD163" i="13"/>
  <c r="AE163" i="13" s="1"/>
  <c r="AD194" i="13"/>
  <c r="AF194" i="13" s="1"/>
  <c r="AD159" i="13"/>
  <c r="AD160" i="13"/>
  <c r="AD155" i="13"/>
  <c r="AD162" i="13"/>
  <c r="AD187" i="13"/>
  <c r="AD181" i="13"/>
  <c r="AF181" i="13" s="1"/>
  <c r="AD193" i="13"/>
  <c r="AD156" i="13"/>
  <c r="AG156" i="13" s="1"/>
  <c r="V149" i="5" s="1"/>
  <c r="BH163" i="13"/>
  <c r="P157" i="5" s="1"/>
  <c r="BR309" i="13"/>
  <c r="AC52" i="11" s="1"/>
  <c r="AI231" i="13"/>
  <c r="D45" i="11" s="1"/>
  <c r="E45" i="11" s="1"/>
  <c r="K45" i="11" s="1"/>
  <c r="AD32" i="11" s="1"/>
  <c r="BK73" i="13"/>
  <c r="W71" i="5" s="1"/>
  <c r="W71" i="21" s="1"/>
  <c r="BT311" i="13"/>
  <c r="AE54" i="11" s="1"/>
  <c r="BJ308" i="13"/>
  <c r="BS303" i="13" s="1"/>
  <c r="AD46" i="11" s="1"/>
  <c r="P101" i="5"/>
  <c r="P101" i="21" s="1"/>
  <c r="AK231" i="13"/>
  <c r="W225" i="5" s="1"/>
  <c r="W225" i="21" s="1"/>
  <c r="AJ231" i="13"/>
  <c r="P225" i="5" s="1"/>
  <c r="P225" i="21" s="1"/>
  <c r="AE229" i="13"/>
  <c r="H223" i="5" s="1"/>
  <c r="F204" i="5"/>
  <c r="F204" i="21" s="1"/>
  <c r="AJ208" i="13"/>
  <c r="AI208" i="13"/>
  <c r="AK208" i="13"/>
  <c r="AG122" i="13"/>
  <c r="AG121" i="13" s="1"/>
  <c r="AE122" i="13"/>
  <c r="AE121" i="13" s="1"/>
  <c r="BK173" i="13"/>
  <c r="W168" i="5" s="1"/>
  <c r="W169" i="21" s="1"/>
  <c r="BH173" i="13"/>
  <c r="P168" i="5" s="1"/>
  <c r="P169" i="21" s="1"/>
  <c r="BH181" i="13"/>
  <c r="P175" i="5" s="1"/>
  <c r="P176" i="21" s="1"/>
  <c r="BE181" i="13"/>
  <c r="I175" i="5" s="1"/>
  <c r="I176" i="21" s="1"/>
  <c r="BI325" i="13"/>
  <c r="BR314" i="13" s="1"/>
  <c r="AC57" i="11" s="1"/>
  <c r="BK181" i="13"/>
  <c r="W175" i="5" s="1"/>
  <c r="W176" i="21" s="1"/>
  <c r="BK325" i="13"/>
  <c r="BT314" i="13" s="1"/>
  <c r="AE57" i="11" s="1"/>
  <c r="AF118" i="13"/>
  <c r="O110" i="5" s="1"/>
  <c r="F202" i="5"/>
  <c r="F203" i="21" s="1"/>
  <c r="AF203" i="21" s="1"/>
  <c r="AF141" i="13"/>
  <c r="F89" i="16"/>
  <c r="I89" i="16" s="1"/>
  <c r="AF119" i="13"/>
  <c r="V111" i="5" s="1"/>
  <c r="AD123" i="13"/>
  <c r="AD190" i="13"/>
  <c r="AD183" i="13"/>
  <c r="AD170" i="13"/>
  <c r="AF170" i="13" s="1"/>
  <c r="AF169" i="13" s="1"/>
  <c r="AD169" i="13"/>
  <c r="AD171" i="13"/>
  <c r="AD186" i="13"/>
  <c r="AF186" i="13" s="1"/>
  <c r="AD174" i="13"/>
  <c r="AF174" i="13" s="1"/>
  <c r="AD192" i="13"/>
  <c r="AD180" i="13"/>
  <c r="AD184" i="13"/>
  <c r="AD176" i="13"/>
  <c r="AF176" i="13" s="1"/>
  <c r="AD179" i="13"/>
  <c r="AD175" i="13"/>
  <c r="AD173" i="13"/>
  <c r="AG173" i="13" s="1"/>
  <c r="AD177" i="13"/>
  <c r="AD172" i="13"/>
  <c r="AD188" i="13"/>
  <c r="AF188" i="13" s="1"/>
  <c r="AF187" i="13" s="1"/>
  <c r="AD196" i="13"/>
  <c r="AF196" i="13" s="1"/>
  <c r="AD191" i="13"/>
  <c r="AG191" i="13" s="1"/>
  <c r="AG189" i="13" s="1"/>
  <c r="AD182" i="13"/>
  <c r="AE182" i="13" s="1"/>
  <c r="H176" i="5" s="1"/>
  <c r="AD189" i="13"/>
  <c r="AD178" i="13"/>
  <c r="AD185" i="13"/>
  <c r="AG185" i="13" s="1"/>
  <c r="AB211" i="13"/>
  <c r="I16" i="3" s="1"/>
  <c r="AE142" i="13"/>
  <c r="H134" i="5" s="1"/>
  <c r="AG142" i="13"/>
  <c r="V134" i="5" s="1"/>
  <c r="V133" i="5"/>
  <c r="V112" i="5"/>
  <c r="V135" i="5"/>
  <c r="W152" i="5"/>
  <c r="W152" i="21" s="1"/>
  <c r="BK251" i="13"/>
  <c r="P152" i="5"/>
  <c r="P152" i="21" s="1"/>
  <c r="BH251" i="13"/>
  <c r="I152" i="5"/>
  <c r="I152" i="21" s="1"/>
  <c r="BE251" i="13"/>
  <c r="AE141" i="13"/>
  <c r="H133" i="5" s="1"/>
  <c r="BE24" i="13"/>
  <c r="I25" i="5" s="1"/>
  <c r="I25" i="21" s="1"/>
  <c r="F207" i="5"/>
  <c r="F207" i="21" s="1"/>
  <c r="AF207" i="21" s="1"/>
  <c r="AE147" i="13"/>
  <c r="H140" i="5" s="1"/>
  <c r="AG147" i="13"/>
  <c r="V140" i="5" s="1"/>
  <c r="AE137" i="13"/>
  <c r="H129" i="5" s="1"/>
  <c r="AF137" i="13"/>
  <c r="AF145" i="13"/>
  <c r="AF144" i="13" s="1"/>
  <c r="AG145" i="13"/>
  <c r="AE136" i="13"/>
  <c r="H128" i="5" s="1"/>
  <c r="AG136" i="13"/>
  <c r="V128" i="5" s="1"/>
  <c r="AD45" i="13"/>
  <c r="AG45" i="13" s="1"/>
  <c r="AD40" i="13"/>
  <c r="Z211" i="13"/>
  <c r="F83" i="16"/>
  <c r="I83" i="16" s="1"/>
  <c r="AD39" i="13"/>
  <c r="AD46" i="13"/>
  <c r="AD44" i="13"/>
  <c r="AG44" i="13" s="1"/>
  <c r="AD42" i="13"/>
  <c r="AF42" i="13" s="1"/>
  <c r="F63" i="5"/>
  <c r="F63" i="21" s="1"/>
  <c r="AF63" i="21" s="1"/>
  <c r="AD55" i="13"/>
  <c r="AD53" i="13"/>
  <c r="AG53" i="13" s="1"/>
  <c r="AD50" i="13"/>
  <c r="AD51" i="13"/>
  <c r="AD54" i="13"/>
  <c r="AF54" i="13" s="1"/>
  <c r="AD62" i="13"/>
  <c r="AD59" i="13"/>
  <c r="AD64" i="13"/>
  <c r="AG64" i="13" s="1"/>
  <c r="AD56" i="13"/>
  <c r="AD48" i="13"/>
  <c r="AD58" i="13"/>
  <c r="AE58" i="13" s="1"/>
  <c r="H57" i="5" s="1"/>
  <c r="H57" i="21" s="1"/>
  <c r="AD63" i="13"/>
  <c r="AD49" i="13"/>
  <c r="AD43" i="13"/>
  <c r="AG43" i="13" s="1"/>
  <c r="AD60" i="13"/>
  <c r="AE60" i="13" s="1"/>
  <c r="H59" i="5" s="1"/>
  <c r="AB203" i="13"/>
  <c r="AD152" i="13"/>
  <c r="AD41" i="13"/>
  <c r="AG41" i="13" s="1"/>
  <c r="AD57" i="13"/>
  <c r="AB202" i="13"/>
  <c r="AD61" i="13"/>
  <c r="AE61" i="13" s="1"/>
  <c r="H60" i="5" s="1"/>
  <c r="AD65" i="13"/>
  <c r="AD47" i="13"/>
  <c r="AD52" i="13"/>
  <c r="AE52" i="13" s="1"/>
  <c r="H52" i="5" s="1"/>
  <c r="AG150" i="13"/>
  <c r="AF150" i="13"/>
  <c r="AE133" i="13"/>
  <c r="H125" i="5" s="1"/>
  <c r="AG133" i="13"/>
  <c r="V125" i="5" s="1"/>
  <c r="AG128" i="13"/>
  <c r="V120" i="5" s="1"/>
  <c r="AE128" i="13"/>
  <c r="H120" i="5" s="1"/>
  <c r="AE129" i="13"/>
  <c r="H121" i="5" s="1"/>
  <c r="AF129" i="13"/>
  <c r="AG149" i="13"/>
  <c r="AF149" i="13"/>
  <c r="AG146" i="13"/>
  <c r="V139" i="5" s="1"/>
  <c r="AE146" i="13"/>
  <c r="H139" i="5" s="1"/>
  <c r="AF140" i="13"/>
  <c r="AE140" i="13"/>
  <c r="AF132" i="13"/>
  <c r="V124" i="5" s="1"/>
  <c r="AE132" i="13"/>
  <c r="H124" i="5" s="1"/>
  <c r="AE151" i="13"/>
  <c r="H144" i="5" s="1"/>
  <c r="H144" i="21" s="1"/>
  <c r="AF151" i="13"/>
  <c r="BK243" i="13"/>
  <c r="BH243" i="13"/>
  <c r="F26" i="16"/>
  <c r="I26" i="16" s="1"/>
  <c r="AE13" i="13"/>
  <c r="H14" i="5" s="1"/>
  <c r="H14" i="21" s="1"/>
  <c r="AF13" i="13"/>
  <c r="AG11" i="13"/>
  <c r="V12" i="5" s="1"/>
  <c r="V12" i="21" s="1"/>
  <c r="AF25" i="13"/>
  <c r="AG24" i="13"/>
  <c r="AE24" i="13"/>
  <c r="H25" i="5" s="1"/>
  <c r="H25" i="21" s="1"/>
  <c r="AF24" i="13"/>
  <c r="AE23" i="13"/>
  <c r="H24" i="5" s="1"/>
  <c r="H24" i="21" s="1"/>
  <c r="AF23" i="13"/>
  <c r="AG23" i="13"/>
  <c r="H26" i="5"/>
  <c r="H26" i="21" s="1"/>
  <c r="AE28" i="13"/>
  <c r="H29" i="5" s="1"/>
  <c r="H29" i="21" s="1"/>
  <c r="AG230" i="13"/>
  <c r="V224" i="5" s="1"/>
  <c r="AE230" i="13"/>
  <c r="H224" i="5" s="1"/>
  <c r="AF57" i="13"/>
  <c r="AE57" i="13"/>
  <c r="AG57" i="13"/>
  <c r="AG47" i="13"/>
  <c r="AE47" i="13"/>
  <c r="AF47" i="13"/>
  <c r="AG21" i="13"/>
  <c r="AF14" i="13"/>
  <c r="AG14" i="13"/>
  <c r="AF21" i="13"/>
  <c r="AF32" i="13"/>
  <c r="AG32" i="13"/>
  <c r="AF224" i="13"/>
  <c r="V218" i="5" s="1"/>
  <c r="AE20" i="13"/>
  <c r="H21" i="5" s="1"/>
  <c r="H21" i="21" s="1"/>
  <c r="AE224" i="13"/>
  <c r="H218" i="5" s="1"/>
  <c r="AG31" i="13"/>
  <c r="V32" i="5" s="1"/>
  <c r="V32" i="21" s="1"/>
  <c r="AE31" i="13"/>
  <c r="H32" i="5" s="1"/>
  <c r="H32" i="21" s="1"/>
  <c r="AG15" i="13"/>
  <c r="AG22" i="13"/>
  <c r="AF15" i="13"/>
  <c r="AF22" i="13"/>
  <c r="O23" i="5" s="1"/>
  <c r="O23" i="21" s="1"/>
  <c r="AG33" i="13"/>
  <c r="AF33" i="13"/>
  <c r="AG25" i="13"/>
  <c r="AF28" i="13"/>
  <c r="AF17" i="13"/>
  <c r="AG12" i="13"/>
  <c r="AG17" i="13"/>
  <c r="AG18" i="13"/>
  <c r="V19" i="5" s="1"/>
  <c r="V19" i="21" s="1"/>
  <c r="AE18" i="13"/>
  <c r="H19" i="5" s="1"/>
  <c r="H19" i="21" s="1"/>
  <c r="AG20" i="13"/>
  <c r="V21" i="5" s="1"/>
  <c r="V21" i="21" s="1"/>
  <c r="AF12" i="13"/>
  <c r="AF27" i="13"/>
  <c r="V28" i="5" s="1"/>
  <c r="V28" i="21" s="1"/>
  <c r="AE27" i="13"/>
  <c r="H28" i="5" s="1"/>
  <c r="H28" i="21" s="1"/>
  <c r="AG29" i="13"/>
  <c r="AF29" i="13"/>
  <c r="AD36" i="13"/>
  <c r="AF115" i="13"/>
  <c r="H110" i="5"/>
  <c r="AF121" i="13"/>
  <c r="V132" i="5"/>
  <c r="O128" i="5"/>
  <c r="H142" i="5"/>
  <c r="H143" i="21" s="1"/>
  <c r="I43" i="16"/>
  <c r="F49" i="16"/>
  <c r="I49" i="16" s="1"/>
  <c r="H138" i="5"/>
  <c r="AD105" i="13"/>
  <c r="AD100" i="13"/>
  <c r="AD109" i="13"/>
  <c r="AD107" i="13"/>
  <c r="AD106" i="13"/>
  <c r="AD108" i="13"/>
  <c r="AD104" i="13"/>
  <c r="AD103" i="13"/>
  <c r="AD102" i="13"/>
  <c r="AD101" i="13"/>
  <c r="F101" i="5"/>
  <c r="G39" i="11"/>
  <c r="L39" i="11" s="1"/>
  <c r="AE26" i="11" s="1"/>
  <c r="H39" i="11"/>
  <c r="AE113" i="13"/>
  <c r="BE219" i="13"/>
  <c r="I213" i="5" s="1"/>
  <c r="BE217" i="13"/>
  <c r="I211" i="5" s="1"/>
  <c r="I212" i="21" s="1"/>
  <c r="BE229" i="13"/>
  <c r="I223" i="5" s="1"/>
  <c r="I224" i="21" s="1"/>
  <c r="BE227" i="13"/>
  <c r="I221" i="5" s="1"/>
  <c r="I222" i="21" s="1"/>
  <c r="AF228" i="13"/>
  <c r="AG228" i="13"/>
  <c r="AE228" i="13"/>
  <c r="H222" i="5" s="1"/>
  <c r="AE227" i="13"/>
  <c r="H221" i="5" s="1"/>
  <c r="AF218" i="13"/>
  <c r="AE218" i="13"/>
  <c r="H212" i="5" s="1"/>
  <c r="AG218" i="13"/>
  <c r="AE223" i="13"/>
  <c r="H217" i="5" s="1"/>
  <c r="AG223" i="13"/>
  <c r="AF223" i="13"/>
  <c r="AG219" i="13"/>
  <c r="AF227" i="13"/>
  <c r="AG222" i="13"/>
  <c r="AE222" i="13"/>
  <c r="H216" i="5" s="1"/>
  <c r="AF222" i="13"/>
  <c r="AE225" i="13"/>
  <c r="H219" i="5" s="1"/>
  <c r="AG225" i="13"/>
  <c r="AF225" i="13"/>
  <c r="AE219" i="13"/>
  <c r="H213" i="5" s="1"/>
  <c r="AG221" i="13"/>
  <c r="AE221" i="13"/>
  <c r="H215" i="5" s="1"/>
  <c r="AF221" i="13"/>
  <c r="O215" i="5" s="1"/>
  <c r="AE220" i="13"/>
  <c r="H214" i="5" s="1"/>
  <c r="AF220" i="13"/>
  <c r="AG220" i="13"/>
  <c r="V214" i="5" s="1"/>
  <c r="AG217" i="13"/>
  <c r="V211" i="5" s="1"/>
  <c r="AF219" i="13"/>
  <c r="AD231" i="13"/>
  <c r="AG226" i="13"/>
  <c r="AF226" i="13"/>
  <c r="AE226" i="13"/>
  <c r="H220" i="5" s="1"/>
  <c r="AE217" i="13"/>
  <c r="O12" i="5"/>
  <c r="O12" i="21" s="1"/>
  <c r="K11" i="21"/>
  <c r="AC225" i="5"/>
  <c r="BT177" i="13" l="1"/>
  <c r="M81" i="11"/>
  <c r="BS177" i="13"/>
  <c r="L81" i="11"/>
  <c r="BR178" i="13"/>
  <c r="K82" i="11"/>
  <c r="H60" i="21"/>
  <c r="I105" i="5"/>
  <c r="I106" i="21" s="1"/>
  <c r="O105" i="5"/>
  <c r="AG113" i="13"/>
  <c r="V105" i="5"/>
  <c r="W106" i="21"/>
  <c r="V224" i="21"/>
  <c r="H222" i="21"/>
  <c r="H224" i="21"/>
  <c r="P47" i="21"/>
  <c r="P48" i="21"/>
  <c r="P157" i="21"/>
  <c r="P158" i="21"/>
  <c r="H152" i="21"/>
  <c r="H153" i="21"/>
  <c r="H223" i="21"/>
  <c r="AF165" i="13"/>
  <c r="AF164" i="13" s="1"/>
  <c r="BJ303" i="13"/>
  <c r="AD41" i="11"/>
  <c r="AG48" i="13"/>
  <c r="V13" i="5"/>
  <c r="V13" i="21" s="1"/>
  <c r="O112" i="5"/>
  <c r="AG165" i="13"/>
  <c r="AG50" i="13"/>
  <c r="AG49" i="13"/>
  <c r="V132" i="21"/>
  <c r="AI46" i="13"/>
  <c r="AI66" i="13" s="1"/>
  <c r="I63" i="5" s="1"/>
  <c r="I63" i="21" s="1"/>
  <c r="BE236" i="13"/>
  <c r="BI303" i="13"/>
  <c r="BJ49" i="13"/>
  <c r="BK49" i="13" s="1"/>
  <c r="W49" i="5" s="1"/>
  <c r="BT49" i="13"/>
  <c r="BK236" i="13"/>
  <c r="W47" i="5" s="1"/>
  <c r="BK303" i="13"/>
  <c r="AK46" i="13"/>
  <c r="AK66" i="13" s="1"/>
  <c r="H37" i="11" s="1"/>
  <c r="I37" i="11" s="1"/>
  <c r="M37" i="11" s="1"/>
  <c r="AF24" i="11" s="1"/>
  <c r="BG49" i="13"/>
  <c r="BS49" i="13"/>
  <c r="AJ46" i="13"/>
  <c r="AJ66" i="13" s="1"/>
  <c r="P63" i="5" s="1"/>
  <c r="P63" i="21" s="1"/>
  <c r="BD49" i="13"/>
  <c r="BR49" i="13"/>
  <c r="AF188" i="21"/>
  <c r="F191" i="21"/>
  <c r="I220" i="21"/>
  <c r="I223" i="21"/>
  <c r="H214" i="21"/>
  <c r="AF113" i="13"/>
  <c r="O104" i="5" s="1"/>
  <c r="O104" i="21" s="1"/>
  <c r="AF192" i="21"/>
  <c r="I214" i="21"/>
  <c r="H216" i="21"/>
  <c r="H218" i="21"/>
  <c r="V211" i="21"/>
  <c r="H215" i="21"/>
  <c r="H217" i="21"/>
  <c r="H213" i="21"/>
  <c r="I149" i="21"/>
  <c r="W165" i="21"/>
  <c r="W168" i="21"/>
  <c r="H124" i="21"/>
  <c r="H111" i="21"/>
  <c r="H221" i="21"/>
  <c r="P149" i="21"/>
  <c r="P165" i="21"/>
  <c r="P168" i="21"/>
  <c r="I218" i="21"/>
  <c r="I221" i="21"/>
  <c r="W70" i="21"/>
  <c r="W72" i="21"/>
  <c r="I213" i="21"/>
  <c r="H140" i="21"/>
  <c r="H128" i="21"/>
  <c r="W149" i="21"/>
  <c r="H134" i="21"/>
  <c r="H219" i="21"/>
  <c r="I211" i="21"/>
  <c r="H120" i="21"/>
  <c r="H138" i="21"/>
  <c r="V134" i="21"/>
  <c r="W172" i="21"/>
  <c r="W175" i="21"/>
  <c r="H220" i="21"/>
  <c r="I105" i="21"/>
  <c r="I107" i="21"/>
  <c r="V133" i="21"/>
  <c r="I172" i="21"/>
  <c r="I175" i="21"/>
  <c r="V124" i="21"/>
  <c r="P172" i="21"/>
  <c r="P175" i="21"/>
  <c r="W88" i="21"/>
  <c r="W89" i="21"/>
  <c r="AE117" i="13"/>
  <c r="BR294" i="13"/>
  <c r="AC37" i="11" s="1"/>
  <c r="AC202" i="5"/>
  <c r="AC207" i="5"/>
  <c r="AF204" i="21"/>
  <c r="AC204" i="5"/>
  <c r="F201" i="21"/>
  <c r="AF201" i="21" s="1"/>
  <c r="AC101" i="5"/>
  <c r="F101" i="21"/>
  <c r="AF101" i="21" s="1"/>
  <c r="BK306" i="13"/>
  <c r="BT301" i="13" s="1"/>
  <c r="AB192" i="21"/>
  <c r="AB145" i="21"/>
  <c r="AB97" i="21"/>
  <c r="AF64" i="13"/>
  <c r="AF63" i="13" s="1"/>
  <c r="BR295" i="13"/>
  <c r="AC38" i="11" s="1"/>
  <c r="I35" i="5"/>
  <c r="I35" i="21" s="1"/>
  <c r="H45" i="11"/>
  <c r="I45" i="11" s="1"/>
  <c r="M45" i="11" s="1"/>
  <c r="AF32" i="11" s="1"/>
  <c r="AG161" i="13"/>
  <c r="V155" i="5" s="1"/>
  <c r="I27" i="3"/>
  <c r="AE156" i="13"/>
  <c r="AF158" i="13"/>
  <c r="O152" i="5" s="1"/>
  <c r="AG158" i="13"/>
  <c r="V152" i="5" s="1"/>
  <c r="AF163" i="13"/>
  <c r="AF162" i="13" s="1"/>
  <c r="AE64" i="13"/>
  <c r="AE63" i="13" s="1"/>
  <c r="AG163" i="13"/>
  <c r="AG162" i="13" s="1"/>
  <c r="F36" i="11"/>
  <c r="G36" i="11" s="1"/>
  <c r="L36" i="11" s="1"/>
  <c r="AE23" i="11" s="1"/>
  <c r="AC191" i="5"/>
  <c r="AF156" i="13"/>
  <c r="AF161" i="13"/>
  <c r="AF160" i="13" s="1"/>
  <c r="AG194" i="13"/>
  <c r="V188" i="5" s="1"/>
  <c r="V188" i="21" s="1"/>
  <c r="P145" i="5"/>
  <c r="P145" i="21" s="1"/>
  <c r="AJ202" i="13"/>
  <c r="AI202" i="13"/>
  <c r="AK202" i="13"/>
  <c r="BK324" i="13"/>
  <c r="BT313" i="13" s="1"/>
  <c r="AE56" i="11" s="1"/>
  <c r="AK203" i="13"/>
  <c r="AJ203" i="13"/>
  <c r="AI203" i="13"/>
  <c r="BT295" i="13"/>
  <c r="AE38" i="11" s="1"/>
  <c r="BJ322" i="13"/>
  <c r="BS311" i="13" s="1"/>
  <c r="AD54" i="11" s="1"/>
  <c r="O34" i="5"/>
  <c r="O34" i="21" s="1"/>
  <c r="O211" i="5"/>
  <c r="O219" i="5"/>
  <c r="O142" i="5"/>
  <c r="O114" i="5"/>
  <c r="BJ324" i="13"/>
  <c r="BS313" i="13" s="1"/>
  <c r="AD56" i="11" s="1"/>
  <c r="O33" i="5"/>
  <c r="O33" i="21" s="1"/>
  <c r="O22" i="5"/>
  <c r="O22" i="21" s="1"/>
  <c r="AE194" i="13"/>
  <c r="H188" i="5" s="1"/>
  <c r="H188" i="21" s="1"/>
  <c r="BS295" i="13"/>
  <c r="AD38" i="11" s="1"/>
  <c r="O26" i="5"/>
  <c r="O26" i="21" s="1"/>
  <c r="O188" i="5"/>
  <c r="O188" i="21" s="1"/>
  <c r="O18" i="5"/>
  <c r="O18" i="21" s="1"/>
  <c r="BJ325" i="13"/>
  <c r="BS314" i="13" s="1"/>
  <c r="AD57" i="11" s="1"/>
  <c r="BK305" i="13"/>
  <c r="BT300" i="13" s="1"/>
  <c r="AE43" i="11" s="1"/>
  <c r="O30" i="5"/>
  <c r="O30" i="21" s="1"/>
  <c r="O143" i="5"/>
  <c r="BI308" i="13"/>
  <c r="BR303" i="13" s="1"/>
  <c r="AC46" i="11" s="1"/>
  <c r="O13" i="5"/>
  <c r="O13" i="21" s="1"/>
  <c r="O16" i="5"/>
  <c r="O16" i="21" s="1"/>
  <c r="O15" i="5"/>
  <c r="O15" i="21" s="1"/>
  <c r="P88" i="5"/>
  <c r="BJ306" i="13"/>
  <c r="BS301" i="13" s="1"/>
  <c r="I88" i="5"/>
  <c r="BI306" i="13"/>
  <c r="BR301" i="13" s="1"/>
  <c r="AF44" i="11" s="1"/>
  <c r="H108" i="5"/>
  <c r="AE181" i="13"/>
  <c r="H175" i="5" s="1"/>
  <c r="AG157" i="13"/>
  <c r="W145" i="5"/>
  <c r="W145" i="21" s="1"/>
  <c r="AF192" i="13"/>
  <c r="AG195" i="13"/>
  <c r="V189" i="5" s="1"/>
  <c r="AE195" i="13"/>
  <c r="H189" i="5" s="1"/>
  <c r="F45" i="11"/>
  <c r="G45" i="11" s="1"/>
  <c r="L45" i="11" s="1"/>
  <c r="AE32" i="11" s="1"/>
  <c r="O111" i="5"/>
  <c r="O111" i="21" s="1"/>
  <c r="V110" i="5"/>
  <c r="V111" i="21" s="1"/>
  <c r="D41" i="11"/>
  <c r="E41" i="11" s="1"/>
  <c r="K41" i="11" s="1"/>
  <c r="AD28" i="11" s="1"/>
  <c r="H36" i="11"/>
  <c r="I36" i="11" s="1"/>
  <c r="M36" i="11" s="1"/>
  <c r="AF23" i="11" s="1"/>
  <c r="O25" i="5"/>
  <c r="O25" i="21" s="1"/>
  <c r="V220" i="5"/>
  <c r="O220" i="5"/>
  <c r="V142" i="5"/>
  <c r="V140" i="21" s="1"/>
  <c r="O223" i="5"/>
  <c r="O134" i="5"/>
  <c r="AD166" i="13"/>
  <c r="O108" i="5"/>
  <c r="O124" i="5"/>
  <c r="V216" i="5"/>
  <c r="O21" i="5"/>
  <c r="O21" i="21" s="1"/>
  <c r="V213" i="5"/>
  <c r="O144" i="5"/>
  <c r="O129" i="5"/>
  <c r="V108" i="5"/>
  <c r="AF157" i="13"/>
  <c r="O151" i="5" s="1"/>
  <c r="AG181" i="13"/>
  <c r="V175" i="5" s="1"/>
  <c r="AG188" i="13"/>
  <c r="V182" i="5" s="1"/>
  <c r="AE188" i="13"/>
  <c r="AE187" i="13" s="1"/>
  <c r="H181" i="5" s="1"/>
  <c r="I225" i="5"/>
  <c r="I225" i="21" s="1"/>
  <c r="AF185" i="13"/>
  <c r="V179" i="5" s="1"/>
  <c r="AE185" i="13"/>
  <c r="H179" i="5" s="1"/>
  <c r="AG186" i="13"/>
  <c r="V180" i="5" s="1"/>
  <c r="AE186" i="13"/>
  <c r="H180" i="5" s="1"/>
  <c r="AG196" i="13"/>
  <c r="V190" i="5" s="1"/>
  <c r="AE196" i="13"/>
  <c r="H190" i="5" s="1"/>
  <c r="V114" i="5"/>
  <c r="AE178" i="13"/>
  <c r="H172" i="5" s="1"/>
  <c r="AF182" i="13"/>
  <c r="AF179" i="13" s="1"/>
  <c r="AK211" i="13"/>
  <c r="AJ211" i="13"/>
  <c r="AI211" i="13"/>
  <c r="AG182" i="13"/>
  <c r="V176" i="5" s="1"/>
  <c r="H114" i="5"/>
  <c r="AG177" i="13"/>
  <c r="AE174" i="13"/>
  <c r="H169" i="5" s="1"/>
  <c r="AF191" i="13"/>
  <c r="AF189" i="13" s="1"/>
  <c r="AG138" i="13"/>
  <c r="V130" i="5" s="1"/>
  <c r="AG174" i="13"/>
  <c r="V169" i="5" s="1"/>
  <c r="AF138" i="13"/>
  <c r="AF117" i="13"/>
  <c r="O109" i="5" s="1"/>
  <c r="BD251" i="13"/>
  <c r="I153" i="5" s="1"/>
  <c r="BJ251" i="13"/>
  <c r="BK320" i="13" s="1"/>
  <c r="BT310" i="13" s="1"/>
  <c r="AE53" i="11" s="1"/>
  <c r="BG251" i="13"/>
  <c r="BJ320" i="13" s="1"/>
  <c r="BS310" i="13" s="1"/>
  <c r="AD53" i="11" s="1"/>
  <c r="AE170" i="13"/>
  <c r="AE169" i="13" s="1"/>
  <c r="H163" i="5" s="1"/>
  <c r="F90" i="16"/>
  <c r="I90" i="16" s="1"/>
  <c r="F205" i="5"/>
  <c r="AE173" i="13"/>
  <c r="H168" i="5" s="1"/>
  <c r="AG170" i="13"/>
  <c r="V164" i="5" s="1"/>
  <c r="AF173" i="13"/>
  <c r="AE191" i="13"/>
  <c r="AE189" i="13" s="1"/>
  <c r="H183" i="5" s="1"/>
  <c r="AD197" i="13"/>
  <c r="F197" i="5"/>
  <c r="O217" i="5"/>
  <c r="V109" i="5"/>
  <c r="V138" i="5"/>
  <c r="V107" i="5"/>
  <c r="V34" i="5"/>
  <c r="V34" i="21" s="1"/>
  <c r="O222" i="5"/>
  <c r="O175" i="5"/>
  <c r="AF44" i="13"/>
  <c r="V44" i="5" s="1"/>
  <c r="O32" i="5"/>
  <c r="O32" i="21" s="1"/>
  <c r="V104" i="5"/>
  <c r="V104" i="21" s="1"/>
  <c r="O212" i="5"/>
  <c r="V219" i="5"/>
  <c r="O213" i="5"/>
  <c r="V25" i="5"/>
  <c r="V25" i="21" s="1"/>
  <c r="V30" i="5"/>
  <c r="V30" i="21" s="1"/>
  <c r="O125" i="5"/>
  <c r="V143" i="5"/>
  <c r="V23" i="5"/>
  <c r="V23" i="21" s="1"/>
  <c r="V22" i="5"/>
  <c r="V22" i="21" s="1"/>
  <c r="O24" i="5"/>
  <c r="O24" i="21" s="1"/>
  <c r="O121" i="5"/>
  <c r="V18" i="5"/>
  <c r="O214" i="5"/>
  <c r="O221" i="5"/>
  <c r="V129" i="5"/>
  <c r="V217" i="5"/>
  <c r="V16" i="5"/>
  <c r="V16" i="21" s="1"/>
  <c r="V168" i="5"/>
  <c r="V215" i="5"/>
  <c r="O19" i="5"/>
  <c r="O19" i="21" s="1"/>
  <c r="V144" i="5"/>
  <c r="O140" i="5"/>
  <c r="V212" i="5"/>
  <c r="O29" i="5"/>
  <c r="O29" i="21" s="1"/>
  <c r="O224" i="5"/>
  <c r="AG42" i="13"/>
  <c r="V42" i="5" s="1"/>
  <c r="AF48" i="13"/>
  <c r="V221" i="5"/>
  <c r="O139" i="5"/>
  <c r="O107" i="5"/>
  <c r="O106" i="21" s="1"/>
  <c r="O28" i="5"/>
  <c r="O28" i="21" s="1"/>
  <c r="AE48" i="13"/>
  <c r="H48" i="5" s="1"/>
  <c r="H48" i="21" s="1"/>
  <c r="O218" i="5"/>
  <c r="O120" i="5"/>
  <c r="V121" i="5"/>
  <c r="O133" i="5"/>
  <c r="O216" i="5"/>
  <c r="V33" i="5"/>
  <c r="V33" i="21" s="1"/>
  <c r="O14" i="5"/>
  <c r="O14" i="21" s="1"/>
  <c r="O190" i="5"/>
  <c r="V14" i="5"/>
  <c r="V14" i="21" s="1"/>
  <c r="V29" i="5"/>
  <c r="V29" i="21" s="1"/>
  <c r="V222" i="5"/>
  <c r="AE138" i="13"/>
  <c r="H130" i="5" s="1"/>
  <c r="H129" i="21" s="1"/>
  <c r="AF134" i="13"/>
  <c r="AG134" i="13"/>
  <c r="O138" i="5"/>
  <c r="AG178" i="13"/>
  <c r="BT178" i="13"/>
  <c r="AF178" i="13"/>
  <c r="BS178" i="13"/>
  <c r="AE53" i="13"/>
  <c r="H53" i="5" s="1"/>
  <c r="H53" i="21" s="1"/>
  <c r="AF49" i="13"/>
  <c r="AF53" i="13"/>
  <c r="AE49" i="13"/>
  <c r="H49" i="5" s="1"/>
  <c r="AF52" i="13"/>
  <c r="AE44" i="13"/>
  <c r="H44" i="5" s="1"/>
  <c r="AE134" i="13"/>
  <c r="H126" i="5" s="1"/>
  <c r="H125" i="21" s="1"/>
  <c r="AE45" i="13"/>
  <c r="H45" i="5" s="1"/>
  <c r="AF45" i="13"/>
  <c r="AE50" i="13"/>
  <c r="H50" i="5" s="1"/>
  <c r="F198" i="5"/>
  <c r="AD66" i="13"/>
  <c r="AG60" i="13"/>
  <c r="AF60" i="13"/>
  <c r="AE41" i="13"/>
  <c r="H41" i="5" s="1"/>
  <c r="H41" i="21" s="1"/>
  <c r="AF41" i="13"/>
  <c r="AB200" i="13"/>
  <c r="AE42" i="13"/>
  <c r="H42" i="5" s="1"/>
  <c r="AG130" i="13"/>
  <c r="V122" i="5" s="1"/>
  <c r="AE130" i="13"/>
  <c r="AF130" i="13"/>
  <c r="O122" i="5" s="1"/>
  <c r="AC63" i="5"/>
  <c r="AF61" i="13"/>
  <c r="O60" i="5" s="1"/>
  <c r="AE126" i="13"/>
  <c r="H118" i="5" s="1"/>
  <c r="H118" i="21" s="1"/>
  <c r="AE56" i="13"/>
  <c r="AG58" i="13"/>
  <c r="AF58" i="13"/>
  <c r="AG61" i="13"/>
  <c r="AE54" i="13"/>
  <c r="H54" i="5" s="1"/>
  <c r="AG54" i="13"/>
  <c r="V54" i="5" s="1"/>
  <c r="AG52" i="13"/>
  <c r="AF50" i="13"/>
  <c r="AE43" i="13"/>
  <c r="H43" i="5" s="1"/>
  <c r="AF43" i="13"/>
  <c r="AE59" i="13"/>
  <c r="AG144" i="13"/>
  <c r="V136" i="5" s="1"/>
  <c r="V135" i="21" s="1"/>
  <c r="AG126" i="13"/>
  <c r="Z200" i="13"/>
  <c r="AF126" i="13"/>
  <c r="AF148" i="13"/>
  <c r="AG148" i="13"/>
  <c r="AE144" i="13"/>
  <c r="H136" i="5" s="1"/>
  <c r="H135" i="21" s="1"/>
  <c r="H132" i="5"/>
  <c r="H133" i="21" s="1"/>
  <c r="O132" i="5"/>
  <c r="AE148" i="13"/>
  <c r="H141" i="5" s="1"/>
  <c r="H142" i="21" s="1"/>
  <c r="AK175" i="13"/>
  <c r="AK197" i="13" s="1"/>
  <c r="AE177" i="13"/>
  <c r="H171" i="5" s="1"/>
  <c r="AI175" i="13"/>
  <c r="AI197" i="13" s="1"/>
  <c r="AJ175" i="13"/>
  <c r="AJ197" i="13" s="1"/>
  <c r="AF177" i="13"/>
  <c r="V15" i="5"/>
  <c r="V15" i="21" s="1"/>
  <c r="AE10" i="13"/>
  <c r="H11" i="5" s="1"/>
  <c r="V24" i="5"/>
  <c r="V24" i="21" s="1"/>
  <c r="V26" i="5"/>
  <c r="V26" i="21" s="1"/>
  <c r="AE162" i="13"/>
  <c r="H157" i="5"/>
  <c r="AF104" i="13"/>
  <c r="AG104" i="13"/>
  <c r="AE104" i="13"/>
  <c r="AF16" i="13"/>
  <c r="AE30" i="13"/>
  <c r="H31" i="5" s="1"/>
  <c r="H31" i="21" s="1"/>
  <c r="AG63" i="13"/>
  <c r="V62" i="5"/>
  <c r="AE19" i="13"/>
  <c r="H20" i="5" s="1"/>
  <c r="H20" i="21" s="1"/>
  <c r="AG30" i="13"/>
  <c r="AG10" i="13"/>
  <c r="AE26" i="13"/>
  <c r="H27" i="5" s="1"/>
  <c r="H27" i="21" s="1"/>
  <c r="AF19" i="13"/>
  <c r="AG16" i="13"/>
  <c r="AE16" i="13"/>
  <c r="H17" i="5" s="1"/>
  <c r="H17" i="21" s="1"/>
  <c r="AG26" i="13"/>
  <c r="AF30" i="13"/>
  <c r="AG19" i="13"/>
  <c r="AF10" i="13"/>
  <c r="AF26" i="13"/>
  <c r="I39" i="11"/>
  <c r="M39" i="11" s="1"/>
  <c r="AF26" i="11" s="1"/>
  <c r="E39" i="11"/>
  <c r="K39" i="11" s="1"/>
  <c r="AD26" i="11" s="1"/>
  <c r="AG164" i="13"/>
  <c r="V159" i="5"/>
  <c r="AD110" i="13"/>
  <c r="AE164" i="13"/>
  <c r="H159" i="5"/>
  <c r="AE160" i="13"/>
  <c r="H155" i="5"/>
  <c r="AE105" i="13"/>
  <c r="AF105" i="13"/>
  <c r="AG105" i="13"/>
  <c r="AF101" i="13"/>
  <c r="AE101" i="13"/>
  <c r="AG101" i="13"/>
  <c r="AE102" i="13"/>
  <c r="H97" i="5" s="1"/>
  <c r="AG102" i="13"/>
  <c r="AF102" i="13"/>
  <c r="V196" i="5"/>
  <c r="AF231" i="13"/>
  <c r="AG231" i="13"/>
  <c r="V225" i="5" s="1"/>
  <c r="V225" i="21" s="1"/>
  <c r="AE231" i="13"/>
  <c r="H225" i="5" s="1"/>
  <c r="H225" i="21" s="1"/>
  <c r="I11" i="21"/>
  <c r="H211" i="5"/>
  <c r="H212" i="21" s="1"/>
  <c r="V189" i="21" l="1"/>
  <c r="V50" i="5"/>
  <c r="H43" i="21"/>
  <c r="H45" i="21"/>
  <c r="H121" i="21"/>
  <c r="H122" i="5"/>
  <c r="H123" i="21" s="1"/>
  <c r="O143" i="21"/>
  <c r="AE155" i="13"/>
  <c r="H149" i="5"/>
  <c r="O151" i="21"/>
  <c r="O149" i="5"/>
  <c r="O150" i="21" s="1"/>
  <c r="O223" i="21"/>
  <c r="H49" i="21"/>
  <c r="O224" i="21"/>
  <c r="O159" i="5"/>
  <c r="V190" i="21"/>
  <c r="H190" i="21"/>
  <c r="H50" i="21"/>
  <c r="V144" i="21"/>
  <c r="V153" i="21"/>
  <c r="O152" i="21"/>
  <c r="O153" i="21"/>
  <c r="H184" i="21"/>
  <c r="O144" i="21"/>
  <c r="H42" i="21"/>
  <c r="H44" i="21"/>
  <c r="H54" i="21"/>
  <c r="O222" i="21"/>
  <c r="F205" i="21"/>
  <c r="F206" i="21"/>
  <c r="AF206" i="21" s="1"/>
  <c r="V222" i="21"/>
  <c r="V143" i="21"/>
  <c r="W47" i="21"/>
  <c r="W48" i="21"/>
  <c r="H189" i="21"/>
  <c r="V223" i="21"/>
  <c r="I153" i="21"/>
  <c r="I154" i="21"/>
  <c r="W49" i="21"/>
  <c r="W50" i="21"/>
  <c r="D37" i="11"/>
  <c r="E37" i="11" s="1"/>
  <c r="K37" i="11" s="1"/>
  <c r="AD24" i="11" s="1"/>
  <c r="AC41" i="11"/>
  <c r="AE41" i="11"/>
  <c r="BR256" i="13"/>
  <c r="BR257" i="13" s="1"/>
  <c r="L7" i="5" s="1"/>
  <c r="J7" i="21" s="1"/>
  <c r="V106" i="21"/>
  <c r="BK304" i="13"/>
  <c r="AG46" i="13"/>
  <c r="V151" i="5"/>
  <c r="V151" i="21" s="1"/>
  <c r="W63" i="5"/>
  <c r="W63" i="21" s="1"/>
  <c r="F37" i="11"/>
  <c r="G37" i="11" s="1"/>
  <c r="L37" i="11" s="1"/>
  <c r="AE24" i="11" s="1"/>
  <c r="BE49" i="13"/>
  <c r="I49" i="5" s="1"/>
  <c r="BI304" i="13"/>
  <c r="BH49" i="13"/>
  <c r="P49" i="5" s="1"/>
  <c r="BJ304" i="13"/>
  <c r="I47" i="5"/>
  <c r="I235" i="5"/>
  <c r="O132" i="21"/>
  <c r="H130" i="21"/>
  <c r="H126" i="21"/>
  <c r="V129" i="21"/>
  <c r="H136" i="21"/>
  <c r="V136" i="21"/>
  <c r="H132" i="21"/>
  <c r="O107" i="21"/>
  <c r="V107" i="21"/>
  <c r="O215" i="21"/>
  <c r="F198" i="21"/>
  <c r="AF198" i="21" s="1"/>
  <c r="F197" i="21"/>
  <c r="AF197" i="21" s="1"/>
  <c r="AC197" i="5"/>
  <c r="F199" i="21"/>
  <c r="AF199" i="21" s="1"/>
  <c r="V214" i="21"/>
  <c r="V165" i="21"/>
  <c r="H176" i="21"/>
  <c r="V218" i="21"/>
  <c r="O219" i="21"/>
  <c r="O220" i="21"/>
  <c r="AG160" i="13"/>
  <c r="O221" i="21"/>
  <c r="V219" i="21"/>
  <c r="O211" i="21"/>
  <c r="BS256" i="13"/>
  <c r="BS257" i="13" s="1"/>
  <c r="BT256" i="13"/>
  <c r="BT257" i="13" s="1"/>
  <c r="V212" i="21"/>
  <c r="V108" i="21"/>
  <c r="O110" i="21"/>
  <c r="V138" i="21"/>
  <c r="I88" i="21"/>
  <c r="I89" i="21"/>
  <c r="V128" i="21"/>
  <c r="V130" i="21"/>
  <c r="O214" i="21"/>
  <c r="H181" i="21"/>
  <c r="H168" i="21"/>
  <c r="H139" i="21"/>
  <c r="H141" i="21"/>
  <c r="O213" i="21"/>
  <c r="O218" i="21"/>
  <c r="V216" i="21"/>
  <c r="I150" i="21"/>
  <c r="V179" i="21"/>
  <c r="P88" i="21"/>
  <c r="P89" i="21"/>
  <c r="H131" i="21"/>
  <c r="O108" i="21"/>
  <c r="V175" i="21"/>
  <c r="O133" i="21"/>
  <c r="V120" i="21"/>
  <c r="H169" i="21"/>
  <c r="H119" i="21"/>
  <c r="O138" i="21"/>
  <c r="O120" i="21"/>
  <c r="H180" i="21"/>
  <c r="O134" i="21"/>
  <c r="O212" i="21"/>
  <c r="V137" i="21"/>
  <c r="O217" i="21"/>
  <c r="O175" i="21"/>
  <c r="O128" i="21"/>
  <c r="V217" i="21"/>
  <c r="V221" i="21"/>
  <c r="V105" i="21"/>
  <c r="H211" i="21"/>
  <c r="O105" i="21"/>
  <c r="H172" i="21"/>
  <c r="H175" i="21"/>
  <c r="O140" i="21"/>
  <c r="V220" i="21"/>
  <c r="V150" i="21"/>
  <c r="O124" i="21"/>
  <c r="O216" i="21"/>
  <c r="V110" i="21"/>
  <c r="H127" i="21"/>
  <c r="V176" i="21"/>
  <c r="V213" i="21"/>
  <c r="V109" i="21"/>
  <c r="O109" i="21"/>
  <c r="V215" i="21"/>
  <c r="H137" i="21"/>
  <c r="V131" i="21"/>
  <c r="H151" i="21"/>
  <c r="AG155" i="13"/>
  <c r="V148" i="5" s="1"/>
  <c r="AC205" i="5"/>
  <c r="F202" i="21"/>
  <c r="AF202" i="21" s="1"/>
  <c r="AC198" i="5"/>
  <c r="Z37" i="21"/>
  <c r="V18" i="21"/>
  <c r="H62" i="5"/>
  <c r="O62" i="5"/>
  <c r="J11" i="21"/>
  <c r="H11" i="21"/>
  <c r="AG183" i="13"/>
  <c r="V171" i="5"/>
  <c r="AE179" i="13"/>
  <c r="H173" i="5" s="1"/>
  <c r="O157" i="5"/>
  <c r="V157" i="5"/>
  <c r="O155" i="5"/>
  <c r="I24" i="3"/>
  <c r="O185" i="5"/>
  <c r="O185" i="21" s="1"/>
  <c r="AF155" i="13"/>
  <c r="O148" i="5" s="1"/>
  <c r="AE192" i="13"/>
  <c r="H186" i="5" s="1"/>
  <c r="H185" i="5"/>
  <c r="H185" i="21" s="1"/>
  <c r="O52" i="5"/>
  <c r="O57" i="5"/>
  <c r="O57" i="21" s="1"/>
  <c r="AG192" i="13"/>
  <c r="V186" i="5" s="1"/>
  <c r="O172" i="5"/>
  <c r="AB44" i="11"/>
  <c r="AC44" i="11"/>
  <c r="AD44" i="11"/>
  <c r="AE44" i="11"/>
  <c r="O189" i="5"/>
  <c r="O189" i="21" s="1"/>
  <c r="O59" i="5"/>
  <c r="O60" i="21" s="1"/>
  <c r="O176" i="5"/>
  <c r="H182" i="5"/>
  <c r="H179" i="21" s="1"/>
  <c r="AG179" i="13"/>
  <c r="V173" i="5" s="1"/>
  <c r="AF183" i="13"/>
  <c r="AE171" i="13"/>
  <c r="H166" i="5" s="1"/>
  <c r="H163" i="21" s="1"/>
  <c r="AE183" i="13"/>
  <c r="H177" i="5" s="1"/>
  <c r="AG187" i="13"/>
  <c r="V181" i="5" s="1"/>
  <c r="O168" i="5"/>
  <c r="O182" i="5"/>
  <c r="O181" i="5"/>
  <c r="V126" i="5"/>
  <c r="V126" i="21" s="1"/>
  <c r="V185" i="5"/>
  <c r="V185" i="21" s="1"/>
  <c r="P153" i="5"/>
  <c r="W153" i="5"/>
  <c r="O49" i="5"/>
  <c r="O179" i="5"/>
  <c r="O43" i="5"/>
  <c r="O183" i="5"/>
  <c r="O121" i="21"/>
  <c r="O180" i="5"/>
  <c r="O164" i="5"/>
  <c r="O169" i="5"/>
  <c r="O118" i="5"/>
  <c r="O118" i="21" s="1"/>
  <c r="V183" i="5"/>
  <c r="V27" i="5"/>
  <c r="V27" i="21" s="1"/>
  <c r="O45" i="5"/>
  <c r="O126" i="5"/>
  <c r="O126" i="21" s="1"/>
  <c r="O130" i="5"/>
  <c r="O129" i="21" s="1"/>
  <c r="AF171" i="13"/>
  <c r="O166" i="5" s="1"/>
  <c r="AG171" i="13"/>
  <c r="V166" i="5" s="1"/>
  <c r="AG169" i="13"/>
  <c r="V163" i="5" s="1"/>
  <c r="V164" i="21" s="1"/>
  <c r="H164" i="5"/>
  <c r="H165" i="21" s="1"/>
  <c r="BI320" i="13"/>
  <c r="BR310" i="13" s="1"/>
  <c r="AC53" i="11" s="1"/>
  <c r="AB214" i="13"/>
  <c r="AD206" i="13" s="1"/>
  <c r="F194" i="5"/>
  <c r="F194" i="21" s="1"/>
  <c r="AF194" i="21" s="1"/>
  <c r="O20" i="5"/>
  <c r="O20" i="21" s="1"/>
  <c r="V141" i="5"/>
  <c r="V139" i="21" s="1"/>
  <c r="V52" i="5"/>
  <c r="V172" i="5"/>
  <c r="V169" i="21" s="1"/>
  <c r="AG39" i="13"/>
  <c r="V31" i="5"/>
  <c r="V31" i="21" s="1"/>
  <c r="O141" i="5"/>
  <c r="O139" i="21" s="1"/>
  <c r="O225" i="5"/>
  <c r="O225" i="21" s="1"/>
  <c r="O173" i="5"/>
  <c r="V97" i="5"/>
  <c r="V17" i="5"/>
  <c r="V17" i="21" s="1"/>
  <c r="O27" i="5"/>
  <c r="O27" i="21" s="1"/>
  <c r="V43" i="5"/>
  <c r="V43" i="21" s="1"/>
  <c r="O54" i="5"/>
  <c r="V20" i="5"/>
  <c r="V20" i="21" s="1"/>
  <c r="O186" i="5"/>
  <c r="O31" i="5"/>
  <c r="O31" i="21" s="1"/>
  <c r="V60" i="5"/>
  <c r="V122" i="21"/>
  <c r="V59" i="5"/>
  <c r="O97" i="5"/>
  <c r="V118" i="5"/>
  <c r="V118" i="21" s="1"/>
  <c r="V57" i="5"/>
  <c r="V57" i="21" s="1"/>
  <c r="O53" i="5"/>
  <c r="O17" i="5"/>
  <c r="O17" i="21" s="1"/>
  <c r="O44" i="5"/>
  <c r="V45" i="5"/>
  <c r="V45" i="21" s="1"/>
  <c r="O48" i="5"/>
  <c r="O48" i="21" s="1"/>
  <c r="V48" i="5"/>
  <c r="V48" i="21" s="1"/>
  <c r="V53" i="5"/>
  <c r="V11" i="5"/>
  <c r="V11" i="21" s="1"/>
  <c r="O50" i="5"/>
  <c r="O50" i="21" s="1"/>
  <c r="O41" i="5"/>
  <c r="O41" i="21" s="1"/>
  <c r="O136" i="5"/>
  <c r="O135" i="21" s="1"/>
  <c r="V41" i="5"/>
  <c r="V41" i="21" s="1"/>
  <c r="V49" i="5"/>
  <c r="AF51" i="13"/>
  <c r="AG175" i="13"/>
  <c r="AE46" i="13"/>
  <c r="AF46" i="13"/>
  <c r="F86" i="16"/>
  <c r="I86" i="16" s="1"/>
  <c r="AE39" i="13"/>
  <c r="H38" i="5" s="1"/>
  <c r="H38" i="21" s="1"/>
  <c r="AF39" i="13"/>
  <c r="AF59" i="13"/>
  <c r="AG56" i="13"/>
  <c r="AF56" i="13"/>
  <c r="AE51" i="13"/>
  <c r="AG59" i="13"/>
  <c r="AG51" i="13"/>
  <c r="O42" i="5"/>
  <c r="AG152" i="13"/>
  <c r="AF152" i="13"/>
  <c r="AE152" i="13"/>
  <c r="H145" i="5" s="1"/>
  <c r="H145" i="21" s="1"/>
  <c r="H43" i="11"/>
  <c r="I43" i="11" s="1"/>
  <c r="M43" i="11" s="1"/>
  <c r="AF30" i="11" s="1"/>
  <c r="W191" i="5"/>
  <c r="W191" i="21" s="1"/>
  <c r="F43" i="11"/>
  <c r="G43" i="11" s="1"/>
  <c r="L43" i="11" s="1"/>
  <c r="AE30" i="11" s="1"/>
  <c r="P191" i="5"/>
  <c r="P191" i="21" s="1"/>
  <c r="AE175" i="13"/>
  <c r="I191" i="5"/>
  <c r="I191" i="21" s="1"/>
  <c r="D43" i="11"/>
  <c r="E43" i="11" s="1"/>
  <c r="K43" i="11" s="1"/>
  <c r="AD30" i="11" s="1"/>
  <c r="O171" i="5"/>
  <c r="AF175" i="13"/>
  <c r="J65" i="21"/>
  <c r="AG36" i="13"/>
  <c r="V35" i="5" s="1"/>
  <c r="AE36" i="13"/>
  <c r="H35" i="5" s="1"/>
  <c r="H35" i="21" s="1"/>
  <c r="AF36" i="13"/>
  <c r="O11" i="5"/>
  <c r="O11" i="21" s="1"/>
  <c r="V100" i="5"/>
  <c r="V100" i="21" s="1"/>
  <c r="AG103" i="13"/>
  <c r="V96" i="5"/>
  <c r="AG100" i="13"/>
  <c r="O100" i="5"/>
  <c r="O100" i="21" s="1"/>
  <c r="AF103" i="13"/>
  <c r="H96" i="5"/>
  <c r="AE100" i="13"/>
  <c r="H100" i="5"/>
  <c r="H100" i="21" s="1"/>
  <c r="AE103" i="13"/>
  <c r="H98" i="5" s="1"/>
  <c r="AF100" i="13"/>
  <c r="O96" i="5"/>
  <c r="O149" i="21" l="1"/>
  <c r="H122" i="21"/>
  <c r="V53" i="21"/>
  <c r="O54" i="21"/>
  <c r="V49" i="21"/>
  <c r="O53" i="21"/>
  <c r="H174" i="21"/>
  <c r="O44" i="21"/>
  <c r="O42" i="21"/>
  <c r="I49" i="21"/>
  <c r="I50" i="21"/>
  <c r="V186" i="21"/>
  <c r="V187" i="21"/>
  <c r="V44" i="21"/>
  <c r="O43" i="21"/>
  <c r="O186" i="21"/>
  <c r="O187" i="21"/>
  <c r="O49" i="21"/>
  <c r="O183" i="21"/>
  <c r="O184" i="21"/>
  <c r="V60" i="21"/>
  <c r="O45" i="21"/>
  <c r="W153" i="21"/>
  <c r="W154" i="21"/>
  <c r="V42" i="21"/>
  <c r="P153" i="21"/>
  <c r="P154" i="21"/>
  <c r="H186" i="21"/>
  <c r="H187" i="21"/>
  <c r="V50" i="21"/>
  <c r="V183" i="21"/>
  <c r="V184" i="21"/>
  <c r="O190" i="21"/>
  <c r="H183" i="21"/>
  <c r="I47" i="21"/>
  <c r="I48" i="21"/>
  <c r="P49" i="21"/>
  <c r="P50" i="21"/>
  <c r="V54" i="21"/>
  <c r="V152" i="21"/>
  <c r="D13" i="11"/>
  <c r="K49" i="11" s="1"/>
  <c r="BS299" i="13"/>
  <c r="AD42" i="11" s="1"/>
  <c r="BT299" i="13"/>
  <c r="AE42" i="11" s="1"/>
  <c r="BR299" i="13"/>
  <c r="AC42" i="11" s="1"/>
  <c r="O177" i="5"/>
  <c r="O177" i="21" s="1"/>
  <c r="V177" i="5"/>
  <c r="V177" i="21" s="1"/>
  <c r="O122" i="21"/>
  <c r="O130" i="21"/>
  <c r="O136" i="21"/>
  <c r="V182" i="21"/>
  <c r="F195" i="21"/>
  <c r="AF195" i="21" s="1"/>
  <c r="H178" i="21"/>
  <c r="V142" i="21"/>
  <c r="O165" i="21"/>
  <c r="O174" i="21"/>
  <c r="V174" i="21"/>
  <c r="O142" i="21"/>
  <c r="V180" i="21"/>
  <c r="V149" i="21"/>
  <c r="O180" i="21"/>
  <c r="Z7" i="5"/>
  <c r="Z7" i="21" s="1"/>
  <c r="H13" i="11"/>
  <c r="M49" i="11" s="1"/>
  <c r="S7" i="5"/>
  <c r="S7" i="21" s="1"/>
  <c r="F13" i="11"/>
  <c r="L49" i="11" s="1"/>
  <c r="O179" i="21"/>
  <c r="V163" i="21"/>
  <c r="V97" i="21"/>
  <c r="O168" i="21"/>
  <c r="V125" i="21"/>
  <c r="V127" i="21"/>
  <c r="O182" i="21"/>
  <c r="V166" i="21"/>
  <c r="H164" i="21"/>
  <c r="O166" i="21"/>
  <c r="O181" i="21"/>
  <c r="V141" i="21"/>
  <c r="H97" i="21"/>
  <c r="O137" i="21"/>
  <c r="V172" i="21"/>
  <c r="V181" i="21"/>
  <c r="O119" i="21"/>
  <c r="O169" i="21"/>
  <c r="H173" i="21"/>
  <c r="V148" i="21"/>
  <c r="O172" i="21"/>
  <c r="O131" i="21"/>
  <c r="V168" i="21"/>
  <c r="H177" i="21"/>
  <c r="O97" i="21"/>
  <c r="O176" i="21"/>
  <c r="O123" i="21"/>
  <c r="H166" i="21"/>
  <c r="H98" i="21"/>
  <c r="H99" i="21"/>
  <c r="O125" i="21"/>
  <c r="O127" i="21"/>
  <c r="V173" i="21"/>
  <c r="O148" i="21"/>
  <c r="V119" i="21"/>
  <c r="V121" i="21"/>
  <c r="V123" i="21"/>
  <c r="W150" i="21"/>
  <c r="H182" i="21"/>
  <c r="P150" i="21"/>
  <c r="O173" i="21"/>
  <c r="H150" i="21"/>
  <c r="O141" i="21"/>
  <c r="AC194" i="5"/>
  <c r="AF191" i="21"/>
  <c r="O163" i="5"/>
  <c r="O164" i="21" s="1"/>
  <c r="V145" i="5"/>
  <c r="V145" i="21" s="1"/>
  <c r="O98" i="5"/>
  <c r="AD205" i="13"/>
  <c r="AF205" i="13" s="1"/>
  <c r="F208" i="5"/>
  <c r="AC208" i="5" s="1"/>
  <c r="AD207" i="13"/>
  <c r="C44" i="11"/>
  <c r="AI200" i="13"/>
  <c r="AI214" i="13" s="1"/>
  <c r="I208" i="5" s="1"/>
  <c r="I208" i="21" s="1"/>
  <c r="AG197" i="13"/>
  <c r="AJ200" i="13"/>
  <c r="AJ214" i="13" s="1"/>
  <c r="P208" i="5" s="1"/>
  <c r="P208" i="21" s="1"/>
  <c r="AD209" i="13"/>
  <c r="AF209" i="13" s="1"/>
  <c r="AD204" i="13"/>
  <c r="AK200" i="13"/>
  <c r="AK214" i="13" s="1"/>
  <c r="W208" i="5" s="1"/>
  <c r="W208" i="21" s="1"/>
  <c r="AD200" i="13"/>
  <c r="AD201" i="13"/>
  <c r="AF201" i="13" s="1"/>
  <c r="AD213" i="13"/>
  <c r="AG213" i="13" s="1"/>
  <c r="AD211" i="13"/>
  <c r="AD210" i="13"/>
  <c r="AF210" i="13" s="1"/>
  <c r="AD212" i="13"/>
  <c r="AE212" i="13" s="1"/>
  <c r="H206" i="5" s="1"/>
  <c r="AD208" i="13"/>
  <c r="AD203" i="13"/>
  <c r="AG203" i="13" s="1"/>
  <c r="AD202" i="13"/>
  <c r="AE202" i="13" s="1"/>
  <c r="Z65" i="21"/>
  <c r="V170" i="5"/>
  <c r="V167" i="21" s="1"/>
  <c r="V98" i="5"/>
  <c r="F91" i="16"/>
  <c r="I91" i="16" s="1"/>
  <c r="O38" i="5"/>
  <c r="O38" i="21" s="1"/>
  <c r="V35" i="21"/>
  <c r="V38" i="5"/>
  <c r="V38" i="21" s="1"/>
  <c r="O145" i="5"/>
  <c r="O145" i="21" s="1"/>
  <c r="O35" i="5"/>
  <c r="O35" i="21" s="1"/>
  <c r="AG206" i="13"/>
  <c r="V201" i="5" s="1"/>
  <c r="AE206" i="13"/>
  <c r="H201" i="5" s="1"/>
  <c r="AF206" i="13"/>
  <c r="H170" i="5"/>
  <c r="AE197" i="13"/>
  <c r="H191" i="5" s="1"/>
  <c r="H191" i="21" s="1"/>
  <c r="O170" i="5"/>
  <c r="O167" i="21" s="1"/>
  <c r="AF197" i="13"/>
  <c r="O191" i="5" s="1"/>
  <c r="O191" i="21" s="1"/>
  <c r="AF110" i="13"/>
  <c r="O95" i="5"/>
  <c r="O95" i="21" s="1"/>
  <c r="AE110" i="13"/>
  <c r="H101" i="5" s="1"/>
  <c r="H101" i="21" s="1"/>
  <c r="H95" i="5"/>
  <c r="H95" i="21" s="1"/>
  <c r="AG110" i="13"/>
  <c r="V95" i="5"/>
  <c r="V95" i="21" s="1"/>
  <c r="D30" i="16"/>
  <c r="V178" i="21" l="1"/>
  <c r="O178" i="21"/>
  <c r="AF209" i="21"/>
  <c r="F208" i="21"/>
  <c r="AF208" i="21" s="1"/>
  <c r="V171" i="21"/>
  <c r="O171" i="21"/>
  <c r="H167" i="21"/>
  <c r="H171" i="21"/>
  <c r="V96" i="21"/>
  <c r="AF205" i="21"/>
  <c r="O98" i="21"/>
  <c r="O99" i="21"/>
  <c r="V170" i="21"/>
  <c r="V98" i="21"/>
  <c r="V99" i="21"/>
  <c r="O96" i="21"/>
  <c r="O163" i="21"/>
  <c r="H96" i="21"/>
  <c r="O170" i="21"/>
  <c r="H170" i="21"/>
  <c r="AE213" i="13"/>
  <c r="H207" i="5" s="1"/>
  <c r="H207" i="21" s="1"/>
  <c r="AF213" i="13"/>
  <c r="AG201" i="13"/>
  <c r="V195" i="5" s="1"/>
  <c r="AG205" i="13"/>
  <c r="AG204" i="13" s="1"/>
  <c r="V199" i="5" s="1"/>
  <c r="AE205" i="13"/>
  <c r="AE204" i="13" s="1"/>
  <c r="H199" i="5" s="1"/>
  <c r="AG202" i="13"/>
  <c r="V197" i="5" s="1"/>
  <c r="AF202" i="13"/>
  <c r="O197" i="5" s="1"/>
  <c r="AF203" i="13"/>
  <c r="O198" i="5" s="1"/>
  <c r="AE203" i="13"/>
  <c r="H198" i="5" s="1"/>
  <c r="O204" i="5"/>
  <c r="AG210" i="13"/>
  <c r="AE210" i="13"/>
  <c r="H204" i="5" s="1"/>
  <c r="AG209" i="13"/>
  <c r="AE209" i="13"/>
  <c r="H203" i="5" s="1"/>
  <c r="V198" i="5"/>
  <c r="O195" i="5"/>
  <c r="AD214" i="13"/>
  <c r="AE201" i="13"/>
  <c r="H195" i="5" s="1"/>
  <c r="AF212" i="13"/>
  <c r="AG212" i="13"/>
  <c r="V206" i="5" s="1"/>
  <c r="O201" i="5"/>
  <c r="V204" i="5"/>
  <c r="V191" i="5"/>
  <c r="V191" i="21" s="1"/>
  <c r="O101" i="5"/>
  <c r="O101" i="21" s="1"/>
  <c r="V101" i="5"/>
  <c r="V101" i="21" s="1"/>
  <c r="AF208" i="13"/>
  <c r="O203" i="5"/>
  <c r="H197" i="5"/>
  <c r="O207" i="5"/>
  <c r="O200" i="5"/>
  <c r="AF204" i="13"/>
  <c r="O199" i="5" s="1"/>
  <c r="V207" i="5"/>
  <c r="V207" i="21" s="1"/>
  <c r="F30" i="16"/>
  <c r="F73" i="5"/>
  <c r="H204" i="21" l="1"/>
  <c r="O196" i="21"/>
  <c r="O204" i="21"/>
  <c r="H196" i="21"/>
  <c r="V196" i="21"/>
  <c r="O200" i="21"/>
  <c r="O197" i="21"/>
  <c r="V198" i="21"/>
  <c r="O201" i="21"/>
  <c r="O198" i="21"/>
  <c r="H198" i="21"/>
  <c r="AE211" i="13"/>
  <c r="F73" i="21"/>
  <c r="AF73" i="21" s="1"/>
  <c r="F74" i="21"/>
  <c r="AF74" i="21" s="1"/>
  <c r="H200" i="5"/>
  <c r="H197" i="21" s="1"/>
  <c r="V200" i="5"/>
  <c r="V197" i="21" s="1"/>
  <c r="AF211" i="13"/>
  <c r="AG200" i="13"/>
  <c r="AE200" i="13"/>
  <c r="H194" i="5" s="1"/>
  <c r="AF200" i="13"/>
  <c r="AE208" i="13"/>
  <c r="AG208" i="13"/>
  <c r="V203" i="5"/>
  <c r="V204" i="21" s="1"/>
  <c r="AG211" i="13"/>
  <c r="O206" i="5"/>
  <c r="O207" i="21" s="1"/>
  <c r="O194" i="5"/>
  <c r="V194" i="5"/>
  <c r="AC73" i="5"/>
  <c r="I30" i="16"/>
  <c r="D31" i="16"/>
  <c r="O195" i="21" l="1"/>
  <c r="V195" i="21"/>
  <c r="H201" i="21"/>
  <c r="H195" i="21"/>
  <c r="V201" i="21"/>
  <c r="V200" i="21"/>
  <c r="V194" i="21"/>
  <c r="H194" i="21"/>
  <c r="O194" i="21"/>
  <c r="H200" i="21"/>
  <c r="AF214" i="13"/>
  <c r="AG214" i="13"/>
  <c r="V208" i="5" s="1"/>
  <c r="V208" i="21" s="1"/>
  <c r="D33" i="16"/>
  <c r="F33" i="16" l="1"/>
  <c r="F80" i="5"/>
  <c r="F80" i="21" l="1"/>
  <c r="AF80" i="21" s="1"/>
  <c r="F81" i="21"/>
  <c r="AF81" i="21" s="1"/>
  <c r="AC80" i="5"/>
  <c r="I33" i="16"/>
  <c r="D34" i="16"/>
  <c r="F34" i="16" l="1"/>
  <c r="F83" i="5"/>
  <c r="F83" i="21" l="1"/>
  <c r="AF83" i="21" s="1"/>
  <c r="F84" i="21"/>
  <c r="AF84" i="21" s="1"/>
  <c r="AC83" i="5"/>
  <c r="I34" i="16"/>
  <c r="D35" i="16"/>
  <c r="AA97" i="13" l="1"/>
  <c r="AA258" i="13" s="1"/>
  <c r="F87" i="5"/>
  <c r="F87" i="21" l="1"/>
  <c r="AF87" i="21" s="1"/>
  <c r="F88" i="21"/>
  <c r="AF88" i="21" s="1"/>
  <c r="F35" i="16"/>
  <c r="I35" i="16" s="1"/>
  <c r="AC87" i="5"/>
  <c r="T97" i="13"/>
  <c r="D40" i="16" s="1"/>
  <c r="D36" i="16" l="1"/>
  <c r="F36" i="16" l="1"/>
  <c r="F90" i="5"/>
  <c r="F90" i="21" l="1"/>
  <c r="AF90" i="21" s="1"/>
  <c r="F91" i="21"/>
  <c r="AF91" i="21" s="1"/>
  <c r="AC90" i="5"/>
  <c r="I36" i="16"/>
  <c r="T123" i="13" l="1"/>
  <c r="D55" i="16"/>
  <c r="D56" i="16" l="1"/>
  <c r="F113" i="5"/>
  <c r="F113" i="21" l="1"/>
  <c r="AF113" i="21" s="1"/>
  <c r="F114" i="21"/>
  <c r="AC113" i="5"/>
  <c r="F112" i="21"/>
  <c r="AF112" i="21" s="1"/>
  <c r="F55" i="16"/>
  <c r="I55" i="16" s="1"/>
  <c r="H40" i="11"/>
  <c r="H107" i="5"/>
  <c r="H109" i="5"/>
  <c r="H109" i="21" s="1"/>
  <c r="F115" i="5"/>
  <c r="F115" i="21" s="1"/>
  <c r="AF115" i="21" s="1"/>
  <c r="F40" i="11"/>
  <c r="H106" i="21" l="1"/>
  <c r="H107" i="21"/>
  <c r="H108" i="21"/>
  <c r="H110" i="21"/>
  <c r="AC115" i="5"/>
  <c r="AF114" i="21"/>
  <c r="F56" i="16"/>
  <c r="I56" i="16" s="1"/>
  <c r="G40" i="11"/>
  <c r="L40" i="11" s="1"/>
  <c r="D40" i="11"/>
  <c r="I115" i="5"/>
  <c r="I115" i="21" s="1"/>
  <c r="I40" i="11"/>
  <c r="M40" i="11" s="1"/>
  <c r="AE27" i="11" l="1"/>
  <c r="AF27" i="11"/>
  <c r="H104" i="5"/>
  <c r="E40" i="11"/>
  <c r="K40" i="11" s="1"/>
  <c r="H104" i="21" l="1"/>
  <c r="H105" i="21"/>
  <c r="AD27" i="11"/>
  <c r="D70" i="16" l="1"/>
  <c r="F154" i="5" l="1"/>
  <c r="F155" i="21" s="1"/>
  <c r="F70" i="16"/>
  <c r="F154" i="21" l="1"/>
  <c r="AF154" i="21" s="1"/>
  <c r="AC154" i="5"/>
  <c r="AF151" i="21"/>
  <c r="I70" i="16"/>
  <c r="T166" i="13"/>
  <c r="D71" i="16"/>
  <c r="T257" i="13" l="1"/>
  <c r="F30" i="3" s="1"/>
  <c r="D72" i="16"/>
  <c r="F158" i="5" l="1"/>
  <c r="F71" i="16"/>
  <c r="F158" i="21" l="1"/>
  <c r="AF158" i="21" s="1"/>
  <c r="F159" i="21"/>
  <c r="AF159" i="21" s="1"/>
  <c r="AC158" i="5"/>
  <c r="AF155" i="21"/>
  <c r="F42" i="11"/>
  <c r="I71" i="16"/>
  <c r="F72" i="16"/>
  <c r="I72" i="16" s="1"/>
  <c r="H42" i="11"/>
  <c r="F160" i="5"/>
  <c r="F160" i="21" s="1"/>
  <c r="AF160" i="21" l="1"/>
  <c r="AF161" i="21"/>
  <c r="AC160" i="5"/>
  <c r="AF157" i="21"/>
  <c r="I42" i="11"/>
  <c r="M42" i="11" s="1"/>
  <c r="D42" i="11"/>
  <c r="I160" i="5"/>
  <c r="I160" i="21" s="1"/>
  <c r="G42" i="11"/>
  <c r="L42" i="11" s="1"/>
  <c r="AE29" i="11" l="1"/>
  <c r="AF29" i="11"/>
  <c r="H148" i="5"/>
  <c r="H149" i="21" s="1"/>
  <c r="E42" i="11"/>
  <c r="K42" i="11" s="1"/>
  <c r="H148" i="21" l="1"/>
  <c r="AD29" i="11"/>
  <c r="F257" i="13"/>
  <c r="H46" i="5" l="1"/>
  <c r="O46" i="5"/>
  <c r="V46" i="5"/>
  <c r="H51" i="5"/>
  <c r="V51" i="5"/>
  <c r="O51" i="5"/>
  <c r="H55" i="5"/>
  <c r="O55" i="5"/>
  <c r="V55" i="5"/>
  <c r="H58" i="5"/>
  <c r="V58" i="5"/>
  <c r="O58" i="5"/>
  <c r="AE66" i="13"/>
  <c r="H61" i="5"/>
  <c r="O58" i="21" l="1"/>
  <c r="O59" i="21"/>
  <c r="V58" i="21"/>
  <c r="V59" i="21"/>
  <c r="H58" i="21"/>
  <c r="H59" i="21"/>
  <c r="V55" i="21"/>
  <c r="V56" i="21"/>
  <c r="O55" i="21"/>
  <c r="O56" i="21"/>
  <c r="H55" i="21"/>
  <c r="H56" i="21"/>
  <c r="O51" i="21"/>
  <c r="O52" i="21"/>
  <c r="V51" i="21"/>
  <c r="V52" i="21"/>
  <c r="H51" i="21"/>
  <c r="H52" i="21"/>
  <c r="V46" i="21"/>
  <c r="V47" i="21"/>
  <c r="O46" i="21"/>
  <c r="O47" i="21"/>
  <c r="H61" i="21"/>
  <c r="H62" i="21"/>
  <c r="H46" i="21"/>
  <c r="H47" i="21"/>
  <c r="Q65" i="21"/>
  <c r="X65" i="21"/>
  <c r="H63" i="5"/>
  <c r="H63" i="21" s="1"/>
  <c r="AG66" i="13"/>
  <c r="V61" i="5"/>
  <c r="AF66" i="13"/>
  <c r="O61" i="5"/>
  <c r="O61" i="21" l="1"/>
  <c r="O62" i="21"/>
  <c r="V61" i="21"/>
  <c r="V62" i="21"/>
  <c r="V63" i="5"/>
  <c r="V63" i="21" s="1"/>
  <c r="O63" i="5"/>
  <c r="O63" i="21" s="1"/>
  <c r="AE123" i="13"/>
  <c r="H115" i="5" s="1"/>
  <c r="H115" i="21" s="1"/>
  <c r="H113" i="5"/>
  <c r="H114" i="21" s="1"/>
  <c r="H112" i="21" l="1"/>
  <c r="H113" i="21"/>
  <c r="AF123" i="13"/>
  <c r="O115" i="5" s="1"/>
  <c r="O115" i="21" s="1"/>
  <c r="O113" i="5"/>
  <c r="O114" i="21" s="1"/>
  <c r="AG123" i="13"/>
  <c r="V115" i="5" s="1"/>
  <c r="V115" i="21" s="1"/>
  <c r="V113" i="5"/>
  <c r="V114" i="21" s="1"/>
  <c r="H154" i="5"/>
  <c r="H156" i="5"/>
  <c r="AE166" i="13"/>
  <c r="H160" i="5" s="1"/>
  <c r="H160" i="21" s="1"/>
  <c r="H158" i="5"/>
  <c r="H158" i="21" l="1"/>
  <c r="H159" i="21"/>
  <c r="H156" i="21"/>
  <c r="H157" i="21"/>
  <c r="H154" i="21"/>
  <c r="H155" i="21"/>
  <c r="V112" i="21"/>
  <c r="V113" i="21"/>
  <c r="O112" i="21"/>
  <c r="O113" i="21"/>
  <c r="O154" i="5"/>
  <c r="V154" i="5"/>
  <c r="V156" i="5"/>
  <c r="O156" i="5"/>
  <c r="AF166" i="13"/>
  <c r="O160" i="5" s="1"/>
  <c r="O160" i="21" s="1"/>
  <c r="O158" i="5"/>
  <c r="AG166" i="13"/>
  <c r="V160" i="5" s="1"/>
  <c r="V160" i="21" s="1"/>
  <c r="V158" i="5"/>
  <c r="O202" i="5"/>
  <c r="V202" i="5"/>
  <c r="V154" i="21" l="1"/>
  <c r="V155" i="21"/>
  <c r="O154" i="21"/>
  <c r="O155" i="21"/>
  <c r="V158" i="21"/>
  <c r="V159" i="21"/>
  <c r="O158" i="21"/>
  <c r="O159" i="21"/>
  <c r="O156" i="21"/>
  <c r="O157" i="21"/>
  <c r="V156" i="21"/>
  <c r="V157" i="21"/>
  <c r="V199" i="21"/>
  <c r="V203" i="21"/>
  <c r="O199" i="21"/>
  <c r="O203" i="21"/>
  <c r="D44" i="11"/>
  <c r="E44" i="11" s="1"/>
  <c r="K44" i="11" s="1"/>
  <c r="AD31" i="11" l="1"/>
  <c r="F44" i="11" l="1"/>
  <c r="O205" i="5"/>
  <c r="O206" i="21" s="1"/>
  <c r="O202" i="21" l="1"/>
  <c r="O205" i="21"/>
  <c r="G44" i="11"/>
  <c r="L44" i="11" s="1"/>
  <c r="AE31" i="11" l="1"/>
  <c r="V205" i="5" l="1"/>
  <c r="H44" i="11"/>
  <c r="V205" i="21" l="1"/>
  <c r="V206" i="21"/>
  <c r="V202" i="21"/>
  <c r="I44" i="11"/>
  <c r="M44" i="11" s="1"/>
  <c r="AF31" i="11" l="1"/>
  <c r="H202" i="5" l="1"/>
  <c r="H205" i="5"/>
  <c r="AE214" i="13"/>
  <c r="H205" i="21" l="1"/>
  <c r="H206" i="21"/>
  <c r="H199" i="21"/>
  <c r="H203" i="21"/>
  <c r="H202" i="21"/>
  <c r="H208" i="5"/>
  <c r="H208" i="21" s="1"/>
  <c r="O208" i="5"/>
  <c r="O208" i="21" s="1"/>
  <c r="F77" i="5"/>
  <c r="F78" i="21" s="1"/>
  <c r="AF78" i="21" s="1"/>
  <c r="F31" i="16"/>
  <c r="AC77" i="5" l="1"/>
  <c r="F77" i="21"/>
  <c r="AF77" i="21" s="1"/>
  <c r="AJ79" i="13"/>
  <c r="AJ97" i="13" s="1"/>
  <c r="AB97" i="13"/>
  <c r="AI79" i="13"/>
  <c r="AI97" i="13" s="1"/>
  <c r="AK79" i="13"/>
  <c r="AK97" i="13" s="1"/>
  <c r="F40" i="16"/>
  <c r="I40" i="16" s="1"/>
  <c r="I31" i="16"/>
  <c r="AD72" i="13" l="1"/>
  <c r="C38" i="11"/>
  <c r="F38" i="11"/>
  <c r="F46" i="11" s="1"/>
  <c r="BG260" i="13" s="1"/>
  <c r="P92" i="5"/>
  <c r="P92" i="21" s="1"/>
  <c r="H38" i="11"/>
  <c r="H46" i="11" s="1"/>
  <c r="BJ260" i="13" s="1"/>
  <c r="W92" i="5"/>
  <c r="D38" i="11"/>
  <c r="D46" i="11" s="1"/>
  <c r="BD260" i="13" s="1"/>
  <c r="I92" i="5"/>
  <c r="I92" i="21" s="1"/>
  <c r="AD92" i="13"/>
  <c r="AE92" i="13" s="1"/>
  <c r="H89" i="5" s="1"/>
  <c r="AD90" i="13"/>
  <c r="AD70" i="13"/>
  <c r="AG70" i="13" s="1"/>
  <c r="AD73" i="13"/>
  <c r="AG73" i="13" s="1"/>
  <c r="AB257" i="13"/>
  <c r="AD96" i="13"/>
  <c r="AD74" i="13"/>
  <c r="AF74" i="13" s="1"/>
  <c r="AD86" i="13"/>
  <c r="AD77" i="13"/>
  <c r="AE77" i="13" s="1"/>
  <c r="H75" i="5" s="1"/>
  <c r="AD95" i="13"/>
  <c r="AD78" i="13"/>
  <c r="AG78" i="13" s="1"/>
  <c r="F92" i="5"/>
  <c r="F92" i="21" s="1"/>
  <c r="AF92" i="21" s="1"/>
  <c r="AD76" i="13"/>
  <c r="AF76" i="13" s="1"/>
  <c r="AD87" i="13"/>
  <c r="AE87" i="13" s="1"/>
  <c r="AD91" i="13"/>
  <c r="AG91" i="13" s="1"/>
  <c r="AD79" i="13"/>
  <c r="AD84" i="13"/>
  <c r="AG84" i="13" s="1"/>
  <c r="BD259" i="13"/>
  <c r="C46" i="11"/>
  <c r="AD83" i="13"/>
  <c r="AD82" i="13"/>
  <c r="AD85" i="13"/>
  <c r="AG85" i="13" s="1"/>
  <c r="AD89" i="13"/>
  <c r="AF89" i="13" s="1"/>
  <c r="AD93" i="13"/>
  <c r="BG259" i="13"/>
  <c r="AD71" i="13"/>
  <c r="AG71" i="13" s="1"/>
  <c r="AD88" i="13"/>
  <c r="AD80" i="13"/>
  <c r="AE80" i="13" s="1"/>
  <c r="AD69" i="13"/>
  <c r="AD81" i="13"/>
  <c r="AD94" i="13"/>
  <c r="BJ259" i="13"/>
  <c r="AD75" i="13"/>
  <c r="AF72" i="13"/>
  <c r="O69" i="5" s="1"/>
  <c r="AG72" i="13"/>
  <c r="V69" i="5" s="1"/>
  <c r="AE72" i="13"/>
  <c r="H69" i="5" s="1"/>
  <c r="F32" i="3" l="1"/>
  <c r="AA257" i="13"/>
  <c r="F31" i="3" s="1"/>
  <c r="AF92" i="13"/>
  <c r="O89" i="5" s="1"/>
  <c r="AG92" i="13"/>
  <c r="V89" i="5" s="1"/>
  <c r="AB205" i="21"/>
  <c r="W92" i="21"/>
  <c r="AF78" i="13"/>
  <c r="O76" i="5" s="1"/>
  <c r="AE89" i="13"/>
  <c r="H86" i="5" s="1"/>
  <c r="AG89" i="13"/>
  <c r="V86" i="5" s="1"/>
  <c r="AE78" i="13"/>
  <c r="H76" i="5" s="1"/>
  <c r="H76" i="21" s="1"/>
  <c r="V76" i="5"/>
  <c r="O86" i="5"/>
  <c r="AG77" i="13"/>
  <c r="V75" i="5" s="1"/>
  <c r="AF77" i="13"/>
  <c r="O75" i="5" s="1"/>
  <c r="AG76" i="13"/>
  <c r="V74" i="5" s="1"/>
  <c r="AE76" i="13"/>
  <c r="AE91" i="13"/>
  <c r="H88" i="5" s="1"/>
  <c r="AF91" i="13"/>
  <c r="V88" i="5" s="1"/>
  <c r="AE73" i="13"/>
  <c r="H71" i="5" s="1"/>
  <c r="AG87" i="13"/>
  <c r="V84" i="5" s="1"/>
  <c r="AF85" i="13"/>
  <c r="O82" i="5" s="1"/>
  <c r="AE85" i="13"/>
  <c r="H82" i="5" s="1"/>
  <c r="AF73" i="13"/>
  <c r="AF70" i="13"/>
  <c r="AF84" i="13"/>
  <c r="O81" i="5" s="1"/>
  <c r="AE84" i="13"/>
  <c r="H81" i="5" s="1"/>
  <c r="AE70" i="13"/>
  <c r="H67" i="5" s="1"/>
  <c r="I38" i="11"/>
  <c r="M38" i="11" s="1"/>
  <c r="M46" i="11" s="1"/>
  <c r="E38" i="11"/>
  <c r="K38" i="11" s="1"/>
  <c r="AD25" i="11" s="1"/>
  <c r="AC92" i="5"/>
  <c r="G38" i="11"/>
  <c r="L38" i="11" s="1"/>
  <c r="L46" i="11" s="1"/>
  <c r="S5" i="5" s="1"/>
  <c r="S5" i="21" s="1"/>
  <c r="AE71" i="13"/>
  <c r="H68" i="5" s="1"/>
  <c r="AF71" i="13"/>
  <c r="O68" i="5" s="1"/>
  <c r="AG74" i="13"/>
  <c r="V72" i="5" s="1"/>
  <c r="AE74" i="13"/>
  <c r="H72" i="5" s="1"/>
  <c r="AF87" i="13"/>
  <c r="O84" i="5" s="1"/>
  <c r="AG80" i="13"/>
  <c r="V78" i="5" s="1"/>
  <c r="AF80" i="13"/>
  <c r="O78" i="5" s="1"/>
  <c r="AG88" i="13"/>
  <c r="V85" i="5" s="1"/>
  <c r="AE88" i="13"/>
  <c r="H85" i="5" s="1"/>
  <c r="AF88" i="13"/>
  <c r="O85" i="5" s="1"/>
  <c r="AE81" i="13"/>
  <c r="H79" i="5" s="1"/>
  <c r="AG81" i="13"/>
  <c r="V79" i="5" s="1"/>
  <c r="AF81" i="13"/>
  <c r="O79" i="5" s="1"/>
  <c r="AD97" i="13"/>
  <c r="AG94" i="13"/>
  <c r="AE94" i="13"/>
  <c r="AF94" i="13"/>
  <c r="H78" i="5"/>
  <c r="H84" i="5"/>
  <c r="AG83" i="13"/>
  <c r="O74" i="5"/>
  <c r="V67" i="5"/>
  <c r="H68" i="21" l="1"/>
  <c r="H69" i="21"/>
  <c r="O69" i="21"/>
  <c r="AG90" i="13"/>
  <c r="V87" i="5" s="1"/>
  <c r="V87" i="21" s="1"/>
  <c r="H70" i="21"/>
  <c r="H71" i="21"/>
  <c r="V85" i="21"/>
  <c r="H72" i="21"/>
  <c r="O82" i="21"/>
  <c r="V79" i="21"/>
  <c r="V76" i="21"/>
  <c r="O86" i="21"/>
  <c r="H82" i="21"/>
  <c r="O76" i="21"/>
  <c r="O79" i="21"/>
  <c r="V86" i="21"/>
  <c r="H86" i="21"/>
  <c r="H79" i="21"/>
  <c r="O85" i="21"/>
  <c r="H85" i="21"/>
  <c r="V89" i="21"/>
  <c r="O75" i="21"/>
  <c r="V75" i="21"/>
  <c r="H89" i="21"/>
  <c r="AF75" i="13"/>
  <c r="O73" i="5" s="1"/>
  <c r="AE75" i="13"/>
  <c r="H73" i="5" s="1"/>
  <c r="H73" i="21" s="1"/>
  <c r="H74" i="5"/>
  <c r="V81" i="5"/>
  <c r="O67" i="5"/>
  <c r="BJ261" i="13"/>
  <c r="BK261" i="13" s="1"/>
  <c r="BL261" i="13" s="1"/>
  <c r="Z5" i="5"/>
  <c r="Z5" i="21" s="1"/>
  <c r="AF90" i="13"/>
  <c r="O71" i="5"/>
  <c r="V82" i="5"/>
  <c r="O88" i="5"/>
  <c r="O72" i="5"/>
  <c r="O87" i="5"/>
  <c r="O87" i="21" s="1"/>
  <c r="V68" i="5"/>
  <c r="V71" i="5"/>
  <c r="AE90" i="13"/>
  <c r="H87" i="5" s="1"/>
  <c r="H87" i="21" s="1"/>
  <c r="AG75" i="13"/>
  <c r="V73" i="5" s="1"/>
  <c r="V73" i="21" s="1"/>
  <c r="AF83" i="13"/>
  <c r="O80" i="5" s="1"/>
  <c r="O80" i="21" s="1"/>
  <c r="K46" i="11"/>
  <c r="BD261" i="13" s="1"/>
  <c r="BE261" i="13" s="1"/>
  <c r="BF261" i="13" s="1"/>
  <c r="AE83" i="13"/>
  <c r="H80" i="5" s="1"/>
  <c r="H80" i="21" s="1"/>
  <c r="AF25" i="11"/>
  <c r="AF69" i="13"/>
  <c r="AE25" i="11"/>
  <c r="AE69" i="13"/>
  <c r="H66" i="5" s="1"/>
  <c r="H66" i="21" s="1"/>
  <c r="AG69" i="13"/>
  <c r="AE86" i="13"/>
  <c r="H83" i="5" s="1"/>
  <c r="H83" i="21" s="1"/>
  <c r="AG86" i="13"/>
  <c r="V83" i="5" s="1"/>
  <c r="AF86" i="13"/>
  <c r="O83" i="5" s="1"/>
  <c r="O83" i="21" s="1"/>
  <c r="AF79" i="13"/>
  <c r="AE79" i="13"/>
  <c r="H77" i="5" s="1"/>
  <c r="H77" i="21" s="1"/>
  <c r="AG79" i="13"/>
  <c r="AF93" i="13"/>
  <c r="O90" i="5" s="1"/>
  <c r="O90" i="21" s="1"/>
  <c r="O91" i="5"/>
  <c r="H91" i="5"/>
  <c r="AE93" i="13"/>
  <c r="H90" i="5" s="1"/>
  <c r="H90" i="21" s="1"/>
  <c r="AG93" i="13"/>
  <c r="V90" i="5" s="1"/>
  <c r="V90" i="21" s="1"/>
  <c r="V91" i="5"/>
  <c r="BG261" i="13"/>
  <c r="V68" i="21" l="1"/>
  <c r="V69" i="21"/>
  <c r="H67" i="21"/>
  <c r="O68" i="21"/>
  <c r="V70" i="21"/>
  <c r="V71" i="21"/>
  <c r="O70" i="21"/>
  <c r="O71" i="21"/>
  <c r="O72" i="21"/>
  <c r="V83" i="21"/>
  <c r="V82" i="21"/>
  <c r="O73" i="21"/>
  <c r="O74" i="21"/>
  <c r="V91" i="21"/>
  <c r="H91" i="21"/>
  <c r="O91" i="21"/>
  <c r="H88" i="21"/>
  <c r="O81" i="21"/>
  <c r="V88" i="21"/>
  <c r="H78" i="21"/>
  <c r="O88" i="21"/>
  <c r="O84" i="21"/>
  <c r="H81" i="21"/>
  <c r="V84" i="21"/>
  <c r="H74" i="21"/>
  <c r="H75" i="21"/>
  <c r="O89" i="21"/>
  <c r="V74" i="21"/>
  <c r="V72" i="21"/>
  <c r="H84" i="21"/>
  <c r="H11" i="11"/>
  <c r="O66" i="5"/>
  <c r="O66" i="21" s="1"/>
  <c r="O77" i="5"/>
  <c r="V80" i="5"/>
  <c r="V80" i="21" s="1"/>
  <c r="V77" i="5"/>
  <c r="V66" i="5"/>
  <c r="D11" i="11"/>
  <c r="L5" i="5"/>
  <c r="J5" i="21" s="1"/>
  <c r="AF97" i="13"/>
  <c r="AE97" i="13"/>
  <c r="AE259" i="13" s="1"/>
  <c r="AG97" i="13"/>
  <c r="F11" i="11"/>
  <c r="BH261" i="13"/>
  <c r="BI261" i="13" s="1"/>
  <c r="V66" i="21" l="1"/>
  <c r="V67" i="21"/>
  <c r="O67" i="21"/>
  <c r="O77" i="21"/>
  <c r="O78" i="21"/>
  <c r="V77" i="21"/>
  <c r="V78" i="21"/>
  <c r="V81" i="21"/>
  <c r="V92" i="5"/>
  <c r="V92" i="21" s="1"/>
  <c r="O92" i="5"/>
  <c r="O92" i="21" s="1"/>
  <c r="H92" i="5"/>
  <c r="H92" i="21" s="1"/>
  <c r="BJ314" i="13"/>
  <c r="BS308" i="13" s="1"/>
  <c r="AD51" i="11" s="1"/>
  <c r="BG250" i="13"/>
  <c r="BH250" i="13" s="1"/>
  <c r="P137" i="5" s="1"/>
  <c r="AY145" i="13"/>
  <c r="P137" i="21" l="1"/>
  <c r="P138" i="5"/>
  <c r="P139" i="21" s="1"/>
  <c r="BH145" i="13"/>
  <c r="BG258" i="13"/>
  <c r="BH258" i="13" s="1"/>
  <c r="BI258" i="13" s="1"/>
  <c r="BI263" i="13" s="1"/>
  <c r="BD258" i="13"/>
  <c r="BE258" i="13" s="1"/>
  <c r="BI314" i="13"/>
  <c r="BR308" i="13" s="1"/>
  <c r="AC51" i="11" s="1"/>
  <c r="BE145" i="13"/>
  <c r="P138" i="21" l="1"/>
  <c r="BK145" i="13"/>
  <c r="BJ250" i="13"/>
  <c r="BK250" i="13" s="1"/>
  <c r="W137" i="5" s="1"/>
  <c r="I138" i="5"/>
  <c r="I139" i="21" s="1"/>
  <c r="I137" i="5"/>
  <c r="S6" i="5"/>
  <c r="S6" i="21" s="1"/>
  <c r="F12" i="11"/>
  <c r="L48" i="11" s="1"/>
  <c r="W138" i="5"/>
  <c r="W139" i="21" s="1"/>
  <c r="BK314" i="13"/>
  <c r="BT308" i="13" s="1"/>
  <c r="AE51" i="11" s="1"/>
  <c r="BJ258" i="13"/>
  <c r="BK258" i="13" s="1"/>
  <c r="BH263" i="13"/>
  <c r="BH266" i="13"/>
  <c r="D12" i="11"/>
  <c r="K48" i="11" s="1"/>
  <c r="BF258" i="13"/>
  <c r="BF263" i="13" s="1"/>
  <c r="L6" i="5"/>
  <c r="J6" i="21" s="1"/>
  <c r="I138" i="21" l="1"/>
  <c r="I137" i="21"/>
  <c r="W138" i="21"/>
  <c r="W137" i="21"/>
  <c r="BE266" i="13"/>
  <c r="BE263" i="13"/>
  <c r="F10" i="11"/>
  <c r="L47" i="11" s="1"/>
  <c r="S4" i="5"/>
  <c r="S4" i="21" s="1"/>
  <c r="BL258" i="13"/>
  <c r="BL263" i="13" s="1"/>
  <c r="H12" i="11"/>
  <c r="M48" i="11" s="1"/>
  <c r="Z6" i="5"/>
  <c r="Z6" i="21" s="1"/>
  <c r="BK263" i="13" l="1"/>
  <c r="BK266" i="13"/>
  <c r="D10" i="11"/>
  <c r="K47" i="11" s="1"/>
  <c r="L4" i="5"/>
  <c r="J4" i="21" s="1"/>
  <c r="K10" i="11"/>
  <c r="E8" i="5"/>
  <c r="E8" i="21" s="1"/>
  <c r="Z4" i="5" l="1"/>
  <c r="Z4" i="21" s="1"/>
  <c r="H10" i="11"/>
  <c r="M47"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Oddbjørn Dahlstrøm Andvik</author>
  </authors>
  <commentList>
    <comment ref="H9" authorId="0" shapeId="0" xr:uid="{30D6E5A2-4011-4BE2-B4D8-525E7394EDE5}">
      <text>
        <r>
          <rPr>
            <sz val="9"/>
            <color indexed="81"/>
            <rFont val="Tahoma"/>
            <family val="2"/>
          </rPr>
          <t>Contribution to score. 
0 c. 0% means number of credits achieved and contribution to score.</t>
        </r>
      </text>
    </comment>
    <comment ref="I9" authorId="0" shapeId="0" xr:uid="{F425A9A2-18E4-414B-9BBC-F48CC9B81F78}">
      <text>
        <r>
          <rPr>
            <sz val="9"/>
            <color indexed="81"/>
            <rFont val="Tahoma"/>
            <family val="2"/>
          </rPr>
          <t>Minimum standards level achieved</t>
        </r>
      </text>
    </comment>
    <comment ref="K9" authorId="0" shapeId="0" xr:uid="{F323149C-5FF4-4108-94F4-B5AE26B4E30F}">
      <text>
        <r>
          <rPr>
            <sz val="9"/>
            <color indexed="81"/>
            <rFont val="Tahoma"/>
            <family val="2"/>
          </rPr>
          <t>(</t>
        </r>
        <r>
          <rPr>
            <b/>
            <sz val="9"/>
            <color indexed="81"/>
            <rFont val="Tahoma"/>
            <family val="2"/>
          </rPr>
          <t>G) -</t>
        </r>
        <r>
          <rPr>
            <sz val="9"/>
            <color indexed="81"/>
            <rFont val="Tahoma"/>
            <family val="2"/>
          </rPr>
          <t xml:space="preserve"> Green - OK
</t>
        </r>
        <r>
          <rPr>
            <b/>
            <sz val="9"/>
            <color indexed="81"/>
            <rFont val="Tahoma"/>
            <family val="2"/>
          </rPr>
          <t xml:space="preserve">(Y) </t>
        </r>
        <r>
          <rPr>
            <sz val="9"/>
            <color indexed="81"/>
            <rFont val="Tahoma"/>
            <family val="2"/>
          </rPr>
          <t xml:space="preserve">- Yellow - Unsure
</t>
        </r>
        <r>
          <rPr>
            <b/>
            <sz val="9"/>
            <color indexed="81"/>
            <rFont val="Tahoma"/>
            <family val="2"/>
          </rPr>
          <t>(R) -</t>
        </r>
        <r>
          <rPr>
            <sz val="9"/>
            <color indexed="81"/>
            <rFont val="Tahoma"/>
            <family val="2"/>
          </rPr>
          <t xml:space="preserve"> Red - Not OK</t>
        </r>
        <r>
          <rPr>
            <b/>
            <sz val="9"/>
            <color indexed="81"/>
            <rFont val="Tahoma"/>
            <family val="2"/>
          </rPr>
          <t xml:space="preserve">
</t>
        </r>
        <r>
          <rPr>
            <sz val="9"/>
            <color indexed="81"/>
            <rFont val="Tahoma"/>
            <family val="2"/>
          </rPr>
          <t xml:space="preserve">
</t>
        </r>
      </text>
    </comment>
    <comment ref="O9" authorId="0" shapeId="0" xr:uid="{72353AB7-E94E-4018-A4F4-32381BCFBE23}">
      <text>
        <r>
          <rPr>
            <sz val="9"/>
            <color indexed="81"/>
            <rFont val="Tahoma"/>
            <family val="2"/>
          </rPr>
          <t>0 c. 0% means number of credits achieved and contribution to score.</t>
        </r>
        <r>
          <rPr>
            <sz val="9"/>
            <color indexed="81"/>
            <rFont val="Tahoma"/>
            <family val="2"/>
          </rPr>
          <t xml:space="preserve">
</t>
        </r>
      </text>
    </comment>
    <comment ref="V9" authorId="0" shapeId="0" xr:uid="{58D8B135-5C11-4997-A3D7-5AE08EB87F00}">
      <text>
        <r>
          <rPr>
            <sz val="9"/>
            <color indexed="81"/>
            <rFont val="Tahoma"/>
            <family val="2"/>
          </rPr>
          <t>0 c. 0% means number of credits achieved and contribution to score.</t>
        </r>
      </text>
    </comment>
    <comment ref="E47" authorId="0" shapeId="0" xr:uid="{253B3D45-5FEB-4C4D-B97C-1EE64C83FD38}">
      <text>
        <r>
          <rPr>
            <sz val="9"/>
            <color indexed="81"/>
            <rFont val="Tahoma"/>
            <family val="2"/>
          </rPr>
          <t xml:space="preserve">Requirement: The project must have achieved credits in </t>
        </r>
        <r>
          <rPr>
            <b/>
            <sz val="9"/>
            <color indexed="81"/>
            <rFont val="Tahoma"/>
            <family val="2"/>
          </rPr>
          <t>Mat 05</t>
        </r>
        <r>
          <rPr>
            <sz val="9"/>
            <color indexed="81"/>
            <rFont val="Tahoma"/>
            <family val="2"/>
          </rPr>
          <t xml:space="preserve"> criteria 6–8 Control plan and moisture measurements.</t>
        </r>
      </text>
    </comment>
    <comment ref="E67" authorId="0" shapeId="0" xr:uid="{18C746A1-0AE3-45F3-9838-043A6EA2652A}">
      <text>
        <r>
          <rPr>
            <sz val="9"/>
            <color indexed="81"/>
            <rFont val="Tahoma"/>
            <family val="2"/>
          </rPr>
          <t>Requirement: Hea 03 Thermal comfort: Thermal modelling (N/A for shell only)</t>
        </r>
      </text>
    </comment>
    <comment ref="E134" authorId="0" shapeId="0" xr:uid="{787C9B7F-FF07-4CA5-B5ED-FC86A40CD8F7}">
      <text>
        <r>
          <rPr>
            <sz val="9"/>
            <color indexed="81"/>
            <rFont val="Tahoma"/>
            <family val="2"/>
          </rPr>
          <t>Requirement for Hea 02 Pre-requisite: indoor air quality</t>
        </r>
      </text>
    </comment>
    <comment ref="E215" authorId="0" shapeId="0" xr:uid="{E5C9B72E-1444-4753-8B9F-4041CAE9350A}">
      <text>
        <r>
          <rPr>
            <b/>
            <sz val="9"/>
            <color indexed="81"/>
            <rFont val="Tahoma"/>
            <family val="2"/>
          </rPr>
          <t>Requirement:</t>
        </r>
        <r>
          <rPr>
            <sz val="9"/>
            <color indexed="81"/>
            <rFont val="Tahoma"/>
            <family val="2"/>
          </rPr>
          <t xml:space="preserve">
Ene 01: Prediction of operational energy consumption 
Ene 02: Energy monitoring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Oddbjørn Dahlstrøm</author>
    <author>Oddbjørn Dahlstrøm Andvik</author>
  </authors>
  <commentList>
    <comment ref="AB62" authorId="0" shapeId="0" xr:uid="{00000000-0006-0000-0300-000001000000}">
      <text>
        <r>
          <rPr>
            <sz val="9"/>
            <color indexed="81"/>
            <rFont val="Tahoma"/>
            <family val="2"/>
          </rPr>
          <t>Må være slik for å få manuell filtrering ved Bespokt til å fungere</t>
        </r>
      </text>
    </comment>
    <comment ref="F79" authorId="1" shapeId="0" xr:uid="{443B899F-3E52-4437-A113-E2063BB823B0}">
      <text>
        <r>
          <rPr>
            <b/>
            <sz val="9"/>
            <color indexed="81"/>
            <rFont val="Tahoma"/>
            <family val="2"/>
          </rPr>
          <t>Skal være 1</t>
        </r>
        <r>
          <rPr>
            <sz val="9"/>
            <color indexed="81"/>
            <rFont val="Tahoma"/>
            <family val="2"/>
          </rPr>
          <t xml:space="preserve">
</t>
        </r>
      </text>
    </comment>
    <comment ref="G79" authorId="1" shapeId="0" xr:uid="{5CF6CBF8-C714-4294-B802-308024A0E07F}">
      <text>
        <r>
          <rPr>
            <b/>
            <sz val="9"/>
            <color indexed="81"/>
            <rFont val="Tahoma"/>
            <family val="2"/>
          </rPr>
          <t>Skal være 1</t>
        </r>
        <r>
          <rPr>
            <sz val="9"/>
            <color indexed="81"/>
            <rFont val="Tahoma"/>
            <family val="2"/>
          </rPr>
          <t xml:space="preserve">
</t>
        </r>
      </text>
    </comment>
    <comment ref="H79" authorId="1" shapeId="0" xr:uid="{A7A24F0F-9C85-4CD8-9F37-A4CA70F9C766}">
      <text>
        <r>
          <rPr>
            <b/>
            <sz val="9"/>
            <color indexed="81"/>
            <rFont val="Tahoma"/>
            <family val="2"/>
          </rPr>
          <t>Skal være 1</t>
        </r>
        <r>
          <rPr>
            <sz val="9"/>
            <color indexed="81"/>
            <rFont val="Tahoma"/>
            <family val="2"/>
          </rPr>
          <t xml:space="preserve">
</t>
        </r>
      </text>
    </comment>
    <comment ref="I79" authorId="1" shapeId="0" xr:uid="{5A397767-B974-492E-BE9E-979C7004A2BC}">
      <text>
        <r>
          <rPr>
            <b/>
            <sz val="9"/>
            <color indexed="81"/>
            <rFont val="Tahoma"/>
            <family val="2"/>
          </rPr>
          <t>Skal være 1</t>
        </r>
        <r>
          <rPr>
            <sz val="9"/>
            <color indexed="81"/>
            <rFont val="Tahoma"/>
            <family val="2"/>
          </rPr>
          <t xml:space="preserve">
</t>
        </r>
      </text>
    </comment>
    <comment ref="J79" authorId="1" shapeId="0" xr:uid="{99A478BC-B705-4717-904C-B484569AD718}">
      <text>
        <r>
          <rPr>
            <b/>
            <sz val="9"/>
            <color indexed="81"/>
            <rFont val="Tahoma"/>
            <family val="2"/>
          </rPr>
          <t>Skal være 1</t>
        </r>
        <r>
          <rPr>
            <sz val="9"/>
            <color indexed="81"/>
            <rFont val="Tahoma"/>
            <family val="2"/>
          </rPr>
          <t xml:space="preserve">
</t>
        </r>
      </text>
    </comment>
    <comment ref="K79" authorId="1" shapeId="0" xr:uid="{33F3245B-923B-4646-AE09-696883125E15}">
      <text>
        <r>
          <rPr>
            <b/>
            <sz val="9"/>
            <color indexed="81"/>
            <rFont val="Tahoma"/>
            <family val="2"/>
          </rPr>
          <t>Skal være 1</t>
        </r>
        <r>
          <rPr>
            <sz val="9"/>
            <color indexed="81"/>
            <rFont val="Tahoma"/>
            <family val="2"/>
          </rPr>
          <t xml:space="preserve">
</t>
        </r>
      </text>
    </comment>
    <comment ref="L79" authorId="1" shapeId="0" xr:uid="{F8A6BD9A-25BD-4749-BAB0-7E28E7D6BC89}">
      <text>
        <r>
          <rPr>
            <b/>
            <sz val="9"/>
            <color indexed="81"/>
            <rFont val="Tahoma"/>
            <family val="2"/>
          </rPr>
          <t>Skal være 1</t>
        </r>
        <r>
          <rPr>
            <sz val="9"/>
            <color indexed="81"/>
            <rFont val="Tahoma"/>
            <family val="2"/>
          </rPr>
          <t xml:space="preserve">
</t>
        </r>
      </text>
    </comment>
    <comment ref="M79" authorId="1" shapeId="0" xr:uid="{60F5FF42-633E-4D84-BB49-9704BF9ED20C}">
      <text>
        <r>
          <rPr>
            <b/>
            <sz val="9"/>
            <color indexed="81"/>
            <rFont val="Tahoma"/>
            <family val="2"/>
          </rPr>
          <t>Skal være 1</t>
        </r>
        <r>
          <rPr>
            <sz val="9"/>
            <color indexed="81"/>
            <rFont val="Tahoma"/>
            <family val="2"/>
          </rPr>
          <t xml:space="preserve">
</t>
        </r>
      </text>
    </comment>
    <comment ref="N79" authorId="1" shapeId="0" xr:uid="{D9769830-0832-49ED-A0B4-571B9B17A365}">
      <text>
        <r>
          <rPr>
            <b/>
            <sz val="9"/>
            <color indexed="81"/>
            <rFont val="Tahoma"/>
            <family val="2"/>
          </rPr>
          <t>Skal være 1</t>
        </r>
        <r>
          <rPr>
            <sz val="9"/>
            <color indexed="81"/>
            <rFont val="Tahoma"/>
            <family val="2"/>
          </rPr>
          <t xml:space="preserve">
</t>
        </r>
      </text>
    </comment>
    <comment ref="O79" authorId="1" shapeId="0" xr:uid="{7E448815-A28D-4AE5-8953-13D2BD3643E0}">
      <text>
        <r>
          <rPr>
            <b/>
            <sz val="9"/>
            <color indexed="81"/>
            <rFont val="Tahoma"/>
            <family val="2"/>
          </rPr>
          <t>Skal være 1</t>
        </r>
        <r>
          <rPr>
            <sz val="9"/>
            <color indexed="81"/>
            <rFont val="Tahoma"/>
            <family val="2"/>
          </rPr>
          <t xml:space="preserve">
</t>
        </r>
      </text>
    </comment>
    <comment ref="P79" authorId="1" shapeId="0" xr:uid="{032BE33F-1AEF-4F1B-B478-7D777E336E32}">
      <text>
        <r>
          <rPr>
            <b/>
            <sz val="9"/>
            <color indexed="81"/>
            <rFont val="Tahoma"/>
            <family val="2"/>
          </rPr>
          <t>Skal være 1</t>
        </r>
        <r>
          <rPr>
            <sz val="9"/>
            <color indexed="81"/>
            <rFont val="Tahoma"/>
            <family val="2"/>
          </rPr>
          <t xml:space="preserve">
</t>
        </r>
      </text>
    </comment>
    <comment ref="Q79" authorId="1" shapeId="0" xr:uid="{BF3967F9-09C2-4604-BB49-7A0551D9B0EE}">
      <text>
        <r>
          <rPr>
            <b/>
            <sz val="9"/>
            <color indexed="81"/>
            <rFont val="Tahoma"/>
            <family val="2"/>
          </rPr>
          <t>Skal være 1</t>
        </r>
        <r>
          <rPr>
            <sz val="9"/>
            <color indexed="81"/>
            <rFont val="Tahoma"/>
            <family val="2"/>
          </rPr>
          <t xml:space="preserve">
</t>
        </r>
      </text>
    </comment>
    <comment ref="R79" authorId="1" shapeId="0" xr:uid="{BB8D662A-8A58-4001-94F7-FEDE9B68BCD7}">
      <text>
        <r>
          <rPr>
            <b/>
            <sz val="9"/>
            <color indexed="81"/>
            <rFont val="Tahoma"/>
            <family val="2"/>
          </rPr>
          <t>Skal være 1</t>
        </r>
        <r>
          <rPr>
            <sz val="9"/>
            <color indexed="81"/>
            <rFont val="Tahoma"/>
            <family val="2"/>
          </rPr>
          <t xml:space="preserve">
</t>
        </r>
      </text>
    </comment>
    <comment ref="U101" authorId="1" shapeId="0" xr:uid="{7A97D175-62DB-4838-A19C-59B6F0991062}">
      <text>
        <r>
          <rPr>
            <sz val="9"/>
            <color indexed="81"/>
            <rFont val="Tahoma"/>
            <family val="2"/>
          </rPr>
          <t>filter kan nok slettes (08.11.21)</t>
        </r>
      </text>
    </comment>
    <comment ref="BP114" authorId="1" shapeId="0" xr:uid="{D613F3BC-1803-4D88-82A8-5D57FEECF737}">
      <text>
        <r>
          <rPr>
            <b/>
            <sz val="9"/>
            <color indexed="81"/>
            <rFont val="Tahoma"/>
            <family val="2"/>
          </rPr>
          <t>Oddbjørn Dahlstrøm Andvik:</t>
        </r>
        <r>
          <rPr>
            <sz val="9"/>
            <color indexed="81"/>
            <rFont val="Tahoma"/>
            <family val="2"/>
          </rPr>
          <t xml:space="preserve">
setter til 0</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<sst xmlns="http://schemas.openxmlformats.org/spreadsheetml/2006/main" count="4365" uniqueCount="1097">
  <si>
    <t xml:space="preserve"> </t>
  </si>
  <si>
    <t>Construction</t>
  </si>
  <si>
    <t>Current Version</t>
  </si>
  <si>
    <t>Previous Versions</t>
  </si>
  <si>
    <t>Mat01</t>
  </si>
  <si>
    <t>Version</t>
  </si>
  <si>
    <t>Release Date</t>
  </si>
  <si>
    <t>Copyright</t>
  </si>
  <si>
    <t>Date</t>
  </si>
  <si>
    <t>Residential</t>
  </si>
  <si>
    <t>Building contains multiple tenants/departments/function areas</t>
  </si>
  <si>
    <t>MANAGEMENT</t>
  </si>
  <si>
    <t>Yes</t>
  </si>
  <si>
    <t>No</t>
  </si>
  <si>
    <t>N/A</t>
  </si>
  <si>
    <t>No. of BREEAM credits available</t>
  </si>
  <si>
    <t>BRE Assessment reference no.</t>
  </si>
  <si>
    <t>Client name</t>
  </si>
  <si>
    <t>Building end user/occupier</t>
  </si>
  <si>
    <t>Assessor name</t>
  </si>
  <si>
    <t>Building details</t>
  </si>
  <si>
    <t>Building name</t>
  </si>
  <si>
    <t>Building address</t>
  </si>
  <si>
    <t>Building type (sub-group)</t>
  </si>
  <si>
    <t>Project type</t>
  </si>
  <si>
    <t>Assessment stage</t>
  </si>
  <si>
    <t>Project team details</t>
  </si>
  <si>
    <t>Developer</t>
  </si>
  <si>
    <t>Principal contractor</t>
  </si>
  <si>
    <t>Project management</t>
  </si>
  <si>
    <t>Office</t>
  </si>
  <si>
    <t>Industrial</t>
  </si>
  <si>
    <t>Retail</t>
  </si>
  <si>
    <t>Education</t>
  </si>
  <si>
    <t>Post Construction (Final, as-built)</t>
  </si>
  <si>
    <t>Major Refurbishment (shell only)</t>
  </si>
  <si>
    <t>New Construction (fully fitted)</t>
  </si>
  <si>
    <t>Major Refurbishment (fully fitted)</t>
  </si>
  <si>
    <t>No laboratory</t>
  </si>
  <si>
    <t>Cat Level 2</t>
  </si>
  <si>
    <t>Cat Level 3</t>
  </si>
  <si>
    <t>Cat Level 1 only</t>
  </si>
  <si>
    <t>Assessor organisation</t>
  </si>
  <si>
    <t>New Construction</t>
  </si>
  <si>
    <t>Credits</t>
  </si>
  <si>
    <t>ENERGY</t>
  </si>
  <si>
    <t>HEALTH &amp; WELLBEING</t>
  </si>
  <si>
    <t>Option not applicable to building type</t>
  </si>
  <si>
    <t>General information</t>
  </si>
  <si>
    <t>BREEAM assessor declaration of assessment accuracy and quality</t>
  </si>
  <si>
    <t>Minimum standards level achieved</t>
  </si>
  <si>
    <t>Please select:</t>
  </si>
  <si>
    <t>Minimum standard(s) level</t>
  </si>
  <si>
    <t>Building type (main description)</t>
  </si>
  <si>
    <t>TRANSPORT</t>
  </si>
  <si>
    <t>WATER</t>
  </si>
  <si>
    <t>MATERIALS</t>
  </si>
  <si>
    <t>WASTE</t>
  </si>
  <si>
    <t>LAND USE &amp; ECOLOGY</t>
  </si>
  <si>
    <t>POLLUTION</t>
  </si>
  <si>
    <t>Water</t>
  </si>
  <si>
    <t>Overall Building Performance</t>
  </si>
  <si>
    <t>Building Performance by Environment Section</t>
  </si>
  <si>
    <t>Management</t>
  </si>
  <si>
    <t>% credits achieved</t>
  </si>
  <si>
    <t>No. credits available</t>
  </si>
  <si>
    <t>Health &amp; Wellbeing</t>
  </si>
  <si>
    <t>Energy</t>
  </si>
  <si>
    <t>Transport</t>
  </si>
  <si>
    <t>Materials</t>
  </si>
  <si>
    <t>Waste</t>
  </si>
  <si>
    <t>Land Use &amp; Ecology</t>
  </si>
  <si>
    <t>Pollution</t>
  </si>
  <si>
    <t>Innovation</t>
  </si>
  <si>
    <t>Unclassified</t>
  </si>
  <si>
    <t>Environmental Section</t>
  </si>
  <si>
    <t>Pass</t>
  </si>
  <si>
    <t>Good</t>
  </si>
  <si>
    <t>Very Good</t>
  </si>
  <si>
    <t>Excellent</t>
  </si>
  <si>
    <t>Outstanding</t>
  </si>
  <si>
    <t>Min. standards level achieved</t>
  </si>
  <si>
    <t>Available contribution to overall score</t>
  </si>
  <si>
    <t>Total contribution to overall building score</t>
  </si>
  <si>
    <t>Pre-assessment</t>
  </si>
  <si>
    <t>Total indicative environmental section performance</t>
  </si>
  <si>
    <t>Indicative total score</t>
  </si>
  <si>
    <t>Navn</t>
  </si>
  <si>
    <t>Issues in BREEAM-NOR v. 1.1</t>
  </si>
  <si>
    <t>P</t>
  </si>
  <si>
    <t>G</t>
  </si>
  <si>
    <t>VG</t>
  </si>
  <si>
    <t>O</t>
  </si>
  <si>
    <t>Man 01</t>
  </si>
  <si>
    <t>Man 02</t>
  </si>
  <si>
    <t>Man 03</t>
  </si>
  <si>
    <t>Man 04</t>
  </si>
  <si>
    <t>Man 05</t>
  </si>
  <si>
    <t>Man 06</t>
  </si>
  <si>
    <t>Man 07</t>
  </si>
  <si>
    <t>Kode</t>
  </si>
  <si>
    <t>Valgt bygg</t>
  </si>
  <si>
    <t>Available credits</t>
  </si>
  <si>
    <t>Contribution to score</t>
  </si>
  <si>
    <t>Total performance management</t>
  </si>
  <si>
    <t>Total performance health &amp; wellbeing</t>
  </si>
  <si>
    <t>Total performance energy</t>
  </si>
  <si>
    <t>Total performance transport</t>
  </si>
  <si>
    <t>Total performance water</t>
  </si>
  <si>
    <t>Total performance materials</t>
  </si>
  <si>
    <t>Total performance waste</t>
  </si>
  <si>
    <t>Total performance land use and ecology</t>
  </si>
  <si>
    <t>Total performance pollution</t>
  </si>
  <si>
    <t>Hea 02 Indoor air quality</t>
  </si>
  <si>
    <t>Hea 03 Thermal comfort</t>
  </si>
  <si>
    <t>Hea 06 Safe access</t>
  </si>
  <si>
    <t>Hea 01 Visual comfort</t>
  </si>
  <si>
    <t>Hea 08 Private space</t>
  </si>
  <si>
    <t>Hea 01</t>
  </si>
  <si>
    <t>Hea 02</t>
  </si>
  <si>
    <t>Hea 03</t>
  </si>
  <si>
    <t>Hea 04</t>
  </si>
  <si>
    <t>Hea 05</t>
  </si>
  <si>
    <t>Hea 06</t>
  </si>
  <si>
    <t>Hea 07</t>
  </si>
  <si>
    <t>Hea 08</t>
  </si>
  <si>
    <t>Hea 09</t>
  </si>
  <si>
    <t>Hea</t>
  </si>
  <si>
    <t>Hea 05 Acoustic performance</t>
  </si>
  <si>
    <t>Ene 01 Energy efficiency</t>
  </si>
  <si>
    <t>Ene 03 External lighting</t>
  </si>
  <si>
    <t>Ene 05 Energy efficient cold storage</t>
  </si>
  <si>
    <t>Ene 06 Energy efficient transportation systems</t>
  </si>
  <si>
    <t>Ene 07 Energy Efficient Laboratory Systems</t>
  </si>
  <si>
    <t>Ene 08 Energy efficient equipment</t>
  </si>
  <si>
    <t>Ene 02 Energy monitoring</t>
  </si>
  <si>
    <t>Ene 01</t>
  </si>
  <si>
    <t>Ene 02</t>
  </si>
  <si>
    <t>Ene 03</t>
  </si>
  <si>
    <t>Ene 04</t>
  </si>
  <si>
    <t>Ene 05</t>
  </si>
  <si>
    <t>Ene 06</t>
  </si>
  <si>
    <t>Ene 07</t>
  </si>
  <si>
    <t>Ene 08</t>
  </si>
  <si>
    <t>Ene 09</t>
  </si>
  <si>
    <t>Ene 23</t>
  </si>
  <si>
    <t>Tra 01 Public transport accessibility</t>
  </si>
  <si>
    <t>Tra 02 Proximity to amenities</t>
  </si>
  <si>
    <t>Tra 01</t>
  </si>
  <si>
    <t>Tra 02</t>
  </si>
  <si>
    <t>Tra 03</t>
  </si>
  <si>
    <t>Tra 04</t>
  </si>
  <si>
    <t>Tra 05</t>
  </si>
  <si>
    <t>Wat 01 Water consumption</t>
  </si>
  <si>
    <t>Wat 02 Water monitoring</t>
  </si>
  <si>
    <t>Wat 03 Water leak detection and prevention</t>
  </si>
  <si>
    <t>Wat 04 Water efficient equipment</t>
  </si>
  <si>
    <t>Mat 01 Life cycle impacts</t>
  </si>
  <si>
    <t>Mat 03 Responsible sourcing of materials</t>
  </si>
  <si>
    <t>Mat 05 Designing for robustness</t>
  </si>
  <si>
    <t>Wst 01 Construction waste management</t>
  </si>
  <si>
    <t>LE 01 Site selection</t>
  </si>
  <si>
    <t>LE 02 Ecological value of site and protection of ecological features</t>
  </si>
  <si>
    <t>LE 04 Enhancing site ecology</t>
  </si>
  <si>
    <t>LE 05 Long term impact on biodiversity</t>
  </si>
  <si>
    <t>POL 01 Impacts of refrigerants</t>
  </si>
  <si>
    <t>POL 04 Reduction of night time light pollution</t>
  </si>
  <si>
    <t>Wst 03 Operational waste</t>
  </si>
  <si>
    <t>LE 06 Building footprint</t>
  </si>
  <si>
    <t>POL 05 Noise attenuation</t>
  </si>
  <si>
    <t>Wat 01</t>
  </si>
  <si>
    <t>Wat 02</t>
  </si>
  <si>
    <t>Wat 03</t>
  </si>
  <si>
    <t>Wat 04</t>
  </si>
  <si>
    <t>Mat 01</t>
  </si>
  <si>
    <t>Mat 03</t>
  </si>
  <si>
    <t>Mat 05</t>
  </si>
  <si>
    <t>Mat 06</t>
  </si>
  <si>
    <t>Wst 01</t>
  </si>
  <si>
    <t>Wst 02</t>
  </si>
  <si>
    <t>Wst 04</t>
  </si>
  <si>
    <t>LE 01</t>
  </si>
  <si>
    <t>LE 02</t>
  </si>
  <si>
    <t>LE 04</t>
  </si>
  <si>
    <t>LE 05</t>
  </si>
  <si>
    <t>LE 06</t>
  </si>
  <si>
    <t>POL 01</t>
  </si>
  <si>
    <t>POL 02</t>
  </si>
  <si>
    <t>POL 03</t>
  </si>
  <si>
    <t>POL 04</t>
  </si>
  <si>
    <t>POL 05</t>
  </si>
  <si>
    <t>Inn 01</t>
  </si>
  <si>
    <t>Inn 02</t>
  </si>
  <si>
    <t>Inn 03</t>
  </si>
  <si>
    <t>Inn 04</t>
  </si>
  <si>
    <t>Inn 05</t>
  </si>
  <si>
    <t>Inn 06</t>
  </si>
  <si>
    <t>Inn 07</t>
  </si>
  <si>
    <t>Assessor registration number</t>
  </si>
  <si>
    <t>Date for Pre-Assessment Estimation</t>
  </si>
  <si>
    <t>Date for design phase</t>
  </si>
  <si>
    <t>Completion Date</t>
  </si>
  <si>
    <t>Disclaimer</t>
  </si>
  <si>
    <t>Credits Achieved</t>
  </si>
  <si>
    <t>Weighting</t>
  </si>
  <si>
    <t>Man</t>
  </si>
  <si>
    <t>Ene</t>
  </si>
  <si>
    <t>Tra</t>
  </si>
  <si>
    <t>Wat</t>
  </si>
  <si>
    <t>Mat</t>
  </si>
  <si>
    <t>Wst</t>
  </si>
  <si>
    <t>LE</t>
  </si>
  <si>
    <t>Pol</t>
  </si>
  <si>
    <t>Inn</t>
  </si>
  <si>
    <t>Section score available</t>
  </si>
  <si>
    <t>Sum</t>
  </si>
  <si>
    <t>Wst 04 Speculative floor and ceiling finishes</t>
  </si>
  <si>
    <t>Initial target setting</t>
  </si>
  <si>
    <t>Exemplary Level (Innovation)</t>
  </si>
  <si>
    <t>N</t>
  </si>
  <si>
    <t>I</t>
  </si>
  <si>
    <t>OK</t>
  </si>
  <si>
    <t>Design phase progression</t>
  </si>
  <si>
    <t>Construction phase progression</t>
  </si>
  <si>
    <t>General comments</t>
  </si>
  <si>
    <t>Inn 08</t>
  </si>
  <si>
    <t>Land &amp; Ecology</t>
  </si>
  <si>
    <t>BREEAM innovation credits</t>
  </si>
  <si>
    <t>Emner med innovation credits</t>
  </si>
  <si>
    <t xml:space="preserve">Original no. of BREEAM credits available </t>
  </si>
  <si>
    <t>Div filter</t>
  </si>
  <si>
    <t>User credits - INITIAL</t>
  </si>
  <si>
    <t>User credits - DESIGN</t>
  </si>
  <si>
    <t>User credits - CONSTRUCTION</t>
  </si>
  <si>
    <t>Spesialtilfeller</t>
  </si>
  <si>
    <t>Yes/No</t>
  </si>
  <si>
    <t>-</t>
  </si>
  <si>
    <t>E</t>
  </si>
  <si>
    <t>Non residential</t>
  </si>
  <si>
    <t>Level</t>
  </si>
  <si>
    <t>Samlet minimumstandard</t>
  </si>
  <si>
    <t>Samlet sum tilgjengelig</t>
  </si>
  <si>
    <t>Samlet sum oppnådd</t>
  </si>
  <si>
    <t>&gt;=</t>
  </si>
  <si>
    <t>&lt;</t>
  </si>
  <si>
    <t>Samlet prosent</t>
  </si>
  <si>
    <t>Skal minimumstandard styre?</t>
  </si>
  <si>
    <t>1=ja, 0=nei</t>
  </si>
  <si>
    <t>The rating has been limited to the min. standards level achieved</t>
  </si>
  <si>
    <t>Tilgjengelig poeng</t>
  </si>
  <si>
    <t>Inn 05 - Mat 01 Life cycle impacts</t>
  </si>
  <si>
    <t>Inn 06 - Mat 03 Responsible sourcing of materials</t>
  </si>
  <si>
    <t>Hvor mange poeng skal bort?</t>
  </si>
  <si>
    <t>Felter merket mørk grønn omfattes av filtreringen</t>
  </si>
  <si>
    <t>Ene 02a</t>
  </si>
  <si>
    <t>Inn 09</t>
  </si>
  <si>
    <t>EXEMPLARY LEVEL AND INNOVATION (max 10 credits)</t>
  </si>
  <si>
    <t>Velge farge på status</t>
  </si>
  <si>
    <t>IT</t>
  </si>
  <si>
    <t>DP</t>
  </si>
  <si>
    <t>CP</t>
  </si>
  <si>
    <t>Stat.</t>
  </si>
  <si>
    <t>Comments</t>
  </si>
  <si>
    <t>Hea 01 Visual comfort - Criteria 1</t>
  </si>
  <si>
    <t>Mat 01 Life cycle impacts  - Criteria 1</t>
  </si>
  <si>
    <t>ikke noe å si for poengfordeling.  Ikke gjør noe med denne</t>
  </si>
  <si>
    <t>Architect (ARK)</t>
  </si>
  <si>
    <t>Samlet poeng</t>
  </si>
  <si>
    <t xml:space="preserve">Pol 1 poeng går ut hvis det er industri som hverkan har treated operational area OG kontor. Dvs det må være nei på BEGGE spørsmål får å ta ut Pol 1 poeng. </t>
  </si>
  <si>
    <t>Pol 1 poeng går ut hvis det er industri som hverkan har treated operational area OG kontor. Dvs det må være nei på BEGGE spørsmål får å ta ut Pol 1 poeng. Hea 03 går ut hvis industri ikke har kontor</t>
  </si>
  <si>
    <t>UTGÅR</t>
  </si>
  <si>
    <t>OK. non residential only.</t>
  </si>
  <si>
    <t>2: Bespoke. Staff plus reasonably constant stream of visitors</t>
  </si>
  <si>
    <t>6: Residential</t>
  </si>
  <si>
    <t>1: Office &amp; Industrial. Staff &amp; occasional business visitors</t>
  </si>
  <si>
    <t>3: Retail and education. Staff with large numbers of visitors</t>
  </si>
  <si>
    <t>4: Bespoke. Rural building with few visitors</t>
  </si>
  <si>
    <t>5: Bespoke. Rural building with large numbers of visitors</t>
  </si>
  <si>
    <t>7: Bespoke. Transport Hub</t>
  </si>
  <si>
    <t>OK. type 3 retail and education, type 6 ta bort dwellings TA UT BESPOKE? Ta ut denne, da poeng er bestemt av bygningstype</t>
  </si>
  <si>
    <t>This information will determine, in part, the number of credits available for BREEAM issue Hea02 when the criteria have been finalised for laboratory facilities.</t>
  </si>
  <si>
    <t>The fields marked with a * are mandatory and must be completed/defined prior to beginning the pre-assessment to ensure an accurate indicative score and BREEAM rating. Note: without this information the pre-assessment tool cannot determine the applicable BREEAM issues and number of credits and data entry will not be possible for the building assessment.</t>
  </si>
  <si>
    <t>Initial</t>
  </si>
  <si>
    <t>Design</t>
  </si>
  <si>
    <t>Søke navn</t>
  </si>
  <si>
    <t>Design phase</t>
  </si>
  <si>
    <t>Construction phase</t>
  </si>
  <si>
    <t>Score</t>
  </si>
  <si>
    <t>No. credits available original</t>
  </si>
  <si>
    <t>No. Credits not available (filter)</t>
  </si>
  <si>
    <t>Fume cupboard(s) and/or other containment devices (Ene 07, Hea 02,? )</t>
  </si>
  <si>
    <t>What is the building type category (for the purpose of the Transport  section)? (Tra 1)</t>
  </si>
  <si>
    <t>Laboratory present: &lt;10% of building's BRA</t>
  </si>
  <si>
    <t>Laboratory present: ≥10% - &lt;25% of building's BRA</t>
  </si>
  <si>
    <t>Laboratory present: ≥25% of building's BRA</t>
  </si>
  <si>
    <t>(G)</t>
  </si>
  <si>
    <t>(Y)</t>
  </si>
  <si>
    <t>(R)</t>
  </si>
  <si>
    <t>(G) - Green - OK</t>
  </si>
  <si>
    <t>(Y) - Yellow - Unsure</t>
  </si>
  <si>
    <t>(R) - Red - Not OK</t>
  </si>
  <si>
    <t>Respon-sible</t>
  </si>
  <si>
    <t>Show results</t>
  </si>
  <si>
    <t>Available</t>
  </si>
  <si>
    <r>
      <t>Gross floor area, BTA - m</t>
    </r>
    <r>
      <rPr>
        <vertAlign val="superscript"/>
        <sz val="11"/>
        <color indexed="9"/>
        <rFont val="Calibri"/>
        <family val="2"/>
      </rPr>
      <t>2</t>
    </r>
  </si>
  <si>
    <r>
      <t>Usable floor area, BRA - m</t>
    </r>
    <r>
      <rPr>
        <vertAlign val="superscript"/>
        <sz val="11"/>
        <color indexed="9"/>
        <rFont val="Calibri"/>
        <family val="2"/>
      </rPr>
      <t>2</t>
    </r>
  </si>
  <si>
    <r>
      <t>Saleable usable floor area, BRAs - m</t>
    </r>
    <r>
      <rPr>
        <vertAlign val="superscript"/>
        <sz val="11"/>
        <color indexed="9"/>
        <rFont val="Calibri"/>
        <family val="2"/>
      </rPr>
      <t>2</t>
    </r>
  </si>
  <si>
    <t>Man 01 Project brief and design</t>
  </si>
  <si>
    <t>Man 02 Life cycle cost and service life planning</t>
  </si>
  <si>
    <t>Man 03 Responsible construction practices</t>
  </si>
  <si>
    <t>Man 05 Aftercare</t>
  </si>
  <si>
    <t>Mat 03 Responsible sourcing of mat.  - Crit 1.</t>
  </si>
  <si>
    <t xml:space="preserve">Copyright exists on the BREEAM logo and this may not be used or reproduced for any purpose without the prior written consent of the NGBC/BRE Global Ltd.
</t>
  </si>
  <si>
    <t>BREEAM-NOR Assessor Signature</t>
  </si>
  <si>
    <t>Indicative BREEAM-NOR rating</t>
  </si>
  <si>
    <t>Tra 06</t>
  </si>
  <si>
    <t xml:space="preserve">Approved innovation credits </t>
  </si>
  <si>
    <t>Consulting engineer Engineering (RIB)</t>
  </si>
  <si>
    <t>Consulting engineer Environment (RIM)</t>
  </si>
  <si>
    <t>Consulting engineer Electrical (RIE)</t>
  </si>
  <si>
    <t>Consulting engineer HVAC (RIV)</t>
  </si>
  <si>
    <t>BREEAM-NOR Accredited Professional</t>
  </si>
  <si>
    <t>BREEAM-NOR scheme</t>
  </si>
  <si>
    <t>BREEAM-NOR version</t>
  </si>
  <si>
    <t>Showroom</t>
  </si>
  <si>
    <t>Apartment Blocks</t>
  </si>
  <si>
    <t>Individual dwelling</t>
  </si>
  <si>
    <t>Collection of individual dwellings/dwelling types</t>
  </si>
  <si>
    <t>Hot food takeaway</t>
  </si>
  <si>
    <t>No, confirmed by appropriate person</t>
  </si>
  <si>
    <t>Unknown</t>
  </si>
  <si>
    <t>Does the building require the use of refrigerants within its installed plant/systems? (Pol 01)</t>
  </si>
  <si>
    <t>Others, project team</t>
  </si>
  <si>
    <t>Use this sheet if you need to copy the Pre-Assessment Estimator to new Excel Workbook</t>
  </si>
  <si>
    <t>For assessment details, HEA 07</t>
  </si>
  <si>
    <t>Please select</t>
  </si>
  <si>
    <t>Bespoke</t>
  </si>
  <si>
    <t>Inn 01 - Man 05 Aftercare</t>
  </si>
  <si>
    <t>Inn 02 - Hea 02 Indoor air quality</t>
  </si>
  <si>
    <t>Inn 03 - Tra 03 Alternative modes of transport</t>
  </si>
  <si>
    <t>Inn 04 - Wat 01 Water consumption</t>
  </si>
  <si>
    <t>Inn 07 - Wst 01 Construction site waste man.</t>
  </si>
  <si>
    <t xml:space="preserve">Inn 09 - Approved innovation credits </t>
  </si>
  <si>
    <t>BREEAM REFERANSE</t>
  </si>
  <si>
    <t>BREEAM-Topic EMNE</t>
  </si>
  <si>
    <t>Available credits TILGJENGELIGE POENG</t>
  </si>
  <si>
    <t>Is credits relevant for the project? Yes/No POENG AKTUELLE FOR PROSJEKTET? JA/NEI</t>
  </si>
  <si>
    <t>Ledelse:</t>
  </si>
  <si>
    <t>YES</t>
  </si>
  <si>
    <t>Responsible construction practices</t>
  </si>
  <si>
    <t>Commissioning and handover</t>
  </si>
  <si>
    <t>Aftercare</t>
  </si>
  <si>
    <t>Helse og innemiljø:</t>
  </si>
  <si>
    <t>NO</t>
  </si>
  <si>
    <t>Private space</t>
  </si>
  <si>
    <t>Energi:</t>
  </si>
  <si>
    <t>Ene 02b</t>
  </si>
  <si>
    <t>External Lighting</t>
  </si>
  <si>
    <t>Energy efficient cold storage</t>
  </si>
  <si>
    <t>Energy efficient transportation systems</t>
  </si>
  <si>
    <t>Energy efficient laboratory systems</t>
  </si>
  <si>
    <t>Energy efficient equipment</t>
  </si>
  <si>
    <t>Transport:</t>
  </si>
  <si>
    <t>Tra 03a</t>
  </si>
  <si>
    <t>Tra 03b</t>
  </si>
  <si>
    <t>Vann:</t>
  </si>
  <si>
    <t>Water consumption</t>
  </si>
  <si>
    <t>Water monitoring</t>
  </si>
  <si>
    <t>Water leak detection and prevention</t>
  </si>
  <si>
    <t>Water efficient equipment</t>
  </si>
  <si>
    <t>Materialer:</t>
  </si>
  <si>
    <t>Designing for robustness</t>
  </si>
  <si>
    <t>Avfall:</t>
  </si>
  <si>
    <t>Construction waste management</t>
  </si>
  <si>
    <t>Wst 03a</t>
  </si>
  <si>
    <t>Operational waste</t>
  </si>
  <si>
    <t>Wst 03b</t>
  </si>
  <si>
    <t>Speculative floor &amp; ceiling finishes</t>
  </si>
  <si>
    <t>Arealbruk og økologi:</t>
  </si>
  <si>
    <t>Site selection</t>
  </si>
  <si>
    <t>Long term impact on biodiversity</t>
  </si>
  <si>
    <t>Forurensning:</t>
  </si>
  <si>
    <t>Pol 01</t>
  </si>
  <si>
    <t>Impact of refrigerants</t>
  </si>
  <si>
    <t>Pol 02</t>
  </si>
  <si>
    <t>Pol 03</t>
  </si>
  <si>
    <t>Pol 04</t>
  </si>
  <si>
    <t xml:space="preserve">Reduction of Night Time Light Pollution </t>
  </si>
  <si>
    <t>Pol 05</t>
  </si>
  <si>
    <t>Reduction of noise pollution</t>
  </si>
  <si>
    <t>Innovasjon:</t>
  </si>
  <si>
    <t>BESPOKE</t>
  </si>
  <si>
    <t>TEST</t>
  </si>
  <si>
    <t>Lim inn her</t>
  </si>
  <si>
    <t>Building name:</t>
  </si>
  <si>
    <t>Land use &amp; Ecology</t>
  </si>
  <si>
    <t>Exemplary level and innovation (max 10 credits)</t>
  </si>
  <si>
    <t>Man 04 Commissioning and handover</t>
  </si>
  <si>
    <t>POL 02 NOx emissions</t>
  </si>
  <si>
    <t>Building description</t>
  </si>
  <si>
    <t>Comment</t>
  </si>
  <si>
    <t>Pre-Assessment Estimator, version:</t>
  </si>
  <si>
    <t>The BREEAM and BREEAM-NOR name and logo are registered trademarks of the Building Research Establishment Limited.</t>
  </si>
  <si>
    <t>Inn 08 - Wst 02 Recycled aggregates</t>
  </si>
  <si>
    <t>Shell and core</t>
  </si>
  <si>
    <t>Ja</t>
  </si>
  <si>
    <t>Nei</t>
  </si>
  <si>
    <t>Option 1</t>
  </si>
  <si>
    <t>Option 2</t>
  </si>
  <si>
    <t>Option 3</t>
  </si>
  <si>
    <t>Næringsbygg</t>
  </si>
  <si>
    <t>Option 2:  -50% credit</t>
  </si>
  <si>
    <t xml:space="preserve">Naturally ventilated </t>
  </si>
  <si>
    <t>Shell core</t>
  </si>
  <si>
    <t>HEA 01</t>
  </si>
  <si>
    <t>HEA 02</t>
  </si>
  <si>
    <t>ENE 02a</t>
  </si>
  <si>
    <t>WAT 03</t>
  </si>
  <si>
    <t>ledig</t>
  </si>
  <si>
    <t>Faktor</t>
  </si>
  <si>
    <t>minus</t>
  </si>
  <si>
    <t>Hva</t>
  </si>
  <si>
    <t>Maks</t>
  </si>
  <si>
    <t>gange</t>
  </si>
  <si>
    <t>S/C</t>
  </si>
  <si>
    <t>Shell/core</t>
  </si>
  <si>
    <t>Endring</t>
  </si>
  <si>
    <t>Shell Core</t>
  </si>
  <si>
    <t>Påvirker poeng</t>
  </si>
  <si>
    <t>Juster endring</t>
  </si>
  <si>
    <t>Minus</t>
  </si>
  <si>
    <t>INN</t>
  </si>
  <si>
    <t>Gange</t>
  </si>
  <si>
    <t>Ny maksverdi ved nei</t>
  </si>
  <si>
    <t>Hvis ikke S/C</t>
  </si>
  <si>
    <t>Innovasjon</t>
  </si>
  <si>
    <t>Minus elelr gange</t>
  </si>
  <si>
    <t>S/C bare næring. Ja = bare næring. Nei = kun bolig</t>
  </si>
  <si>
    <t>Alle</t>
  </si>
  <si>
    <t>VOC N/A</t>
  </si>
  <si>
    <t>Sub-metering N/A</t>
  </si>
  <si>
    <t>Flow control N/A</t>
  </si>
  <si>
    <t>O2: Glare control (-0,5 c)</t>
  </si>
  <si>
    <t>O2: Artificial lighting (-0,5 c)</t>
  </si>
  <si>
    <t>O1: Glare ctrl/artificial light</t>
  </si>
  <si>
    <t>O1: VOC</t>
  </si>
  <si>
    <t>O2: VOC (AC 6-7: -0,5 c)</t>
  </si>
  <si>
    <t>O2: VOC (AC 8-9: -1,0 c)</t>
  </si>
  <si>
    <t>O3: VOC</t>
  </si>
  <si>
    <t>O2: Flow control (-0,5 c)</t>
  </si>
  <si>
    <t>O1: Flow control</t>
  </si>
  <si>
    <t xml:space="preserve">O3: Flow control </t>
  </si>
  <si>
    <t>O1: Sub-metering</t>
  </si>
  <si>
    <t>O2: Sub-met. (AC 1-3: -0,5 c)</t>
  </si>
  <si>
    <t>O2: Sub-met. (AC 4-7: -1,0 c)</t>
  </si>
  <si>
    <t>O3: Sub-metering</t>
  </si>
  <si>
    <t>O3: Glare ctrl/artif lighting</t>
  </si>
  <si>
    <t>O2: Glare ctrl &amp; artif light (-1,0 c)</t>
  </si>
  <si>
    <t>Glare ctrl/artif lighting N/A</t>
  </si>
  <si>
    <t>Påvirker minimumspoeng</t>
  </si>
  <si>
    <t>shell core</t>
  </si>
  <si>
    <t>Option 2: Where relevant, 50% of achieved credit is subtracted from score.</t>
  </si>
  <si>
    <t>Tra 01 Transport assessment and travel plan</t>
  </si>
  <si>
    <t>Tra 02 Sustainable transport measures</t>
  </si>
  <si>
    <t>Mat 01 Environmental impacts from construction products - Building life cycle assessment (LCA)</t>
  </si>
  <si>
    <t>Mat 02 Environmental impacts from construction products - Environmental Product Declarations (EPD)</t>
  </si>
  <si>
    <t>Mat 03 Responsible sourcing of construction products</t>
  </si>
  <si>
    <t>Mat 05 Designing for durability and resilience</t>
  </si>
  <si>
    <t>Mat 06 Material efficiency</t>
  </si>
  <si>
    <t>Mat 07 Endringsdyktighet og ombrukbarhet</t>
  </si>
  <si>
    <t>LE 02 Ecological risks and opportunities</t>
  </si>
  <si>
    <t>LE 03 Managing impacts on ecology</t>
  </si>
  <si>
    <t>LE 04 Ecological change and enhancement</t>
  </si>
  <si>
    <t>LE 05 Long term ecology management and maintenance</t>
  </si>
  <si>
    <t>POL 02 Local air quality</t>
  </si>
  <si>
    <t>Inn 10</t>
  </si>
  <si>
    <t>Inn 11</t>
  </si>
  <si>
    <t>Inn 12</t>
  </si>
  <si>
    <t>Inn 13</t>
  </si>
  <si>
    <t>Mat 02</t>
  </si>
  <si>
    <t>Mat 07</t>
  </si>
  <si>
    <t>LE 03</t>
  </si>
  <si>
    <t>LE 07</t>
  </si>
  <si>
    <t>LE 08</t>
  </si>
  <si>
    <t>Healthcare</t>
  </si>
  <si>
    <t>Prison</t>
  </si>
  <si>
    <t>Law Court</t>
  </si>
  <si>
    <t>Residential institution (long term stay)</t>
  </si>
  <si>
    <t>Residential institution (short term stay)</t>
  </si>
  <si>
    <t>Non-residential institution</t>
  </si>
  <si>
    <t>Assembly and leisure</t>
  </si>
  <si>
    <t>General office buildings</t>
  </si>
  <si>
    <t>Offices with research and development areas (i.e. category 1 labs only)</t>
  </si>
  <si>
    <t>Warehouse, storage or distribution</t>
  </si>
  <si>
    <t>Process, manufacturing or vehicle servicing</t>
  </si>
  <si>
    <t>Shop or shopping centre</t>
  </si>
  <si>
    <t>Retail park or warehouse</t>
  </si>
  <si>
    <t>‘Over the counter’ service provider, e.g. financial, estate and employment agencies and betting offices</t>
  </si>
  <si>
    <t>Restaurant, café and drinking establishment</t>
  </si>
  <si>
    <t>Preschool</t>
  </si>
  <si>
    <t xml:space="preserve">Primary School </t>
  </si>
  <si>
    <t>Schools and sixth form colleges</t>
  </si>
  <si>
    <t>Higher education institutions</t>
  </si>
  <si>
    <t>Teaching or specialist hospitals</t>
  </si>
  <si>
    <t>General acute hospitals</t>
  </si>
  <si>
    <t>Community and mental health hospitals</t>
  </si>
  <si>
    <t>GP surgeries</t>
  </si>
  <si>
    <t>Health centres and clinics</t>
  </si>
  <si>
    <t>High security prison</t>
  </si>
  <si>
    <t>Standard secured prison</t>
  </si>
  <si>
    <t>Young offender institution and juvenile prisons</t>
  </si>
  <si>
    <t>Local prison</t>
  </si>
  <si>
    <t>Holding centre</t>
  </si>
  <si>
    <t>Law courts</t>
  </si>
  <si>
    <t>Crown and criminal courts</t>
  </si>
  <si>
    <t>County courts</t>
  </si>
  <si>
    <t>Magistrates' courts</t>
  </si>
  <si>
    <t>Civil justice centres</t>
  </si>
  <si>
    <t>Family courts</t>
  </si>
  <si>
    <t>Youth courts</t>
  </si>
  <si>
    <t>Combined courts</t>
  </si>
  <si>
    <t>Residential care home</t>
  </si>
  <si>
    <t>Sheltered accommodation</t>
  </si>
  <si>
    <t>Residential college or school (halls of residence)</t>
  </si>
  <si>
    <t>Local authority secure residential accommodation</t>
  </si>
  <si>
    <t>Key worker accommodation</t>
  </si>
  <si>
    <t>Military barracks</t>
  </si>
  <si>
    <t>Hotel, hostel, boarding and guest house</t>
  </si>
  <si>
    <t>Secure training centre</t>
  </si>
  <si>
    <t>Residential training centre</t>
  </si>
  <si>
    <t>Art gallery, museum</t>
  </si>
  <si>
    <t>Library</t>
  </si>
  <si>
    <t>Day centre, hall, civic or community centre</t>
  </si>
  <si>
    <t>Place of worship</t>
  </si>
  <si>
    <t>Cinema</t>
  </si>
  <si>
    <t>Theatre, music or concert hall</t>
  </si>
  <si>
    <t>Exhibition or conference hall</t>
  </si>
  <si>
    <t>Indoor or outdoor sports, fitness and recreation centre (with or without pool)</t>
  </si>
  <si>
    <t>Upper Secondary School</t>
  </si>
  <si>
    <t>Total credits available BREEAM-NOR 2021</t>
  </si>
  <si>
    <t>BREEAM-NOR 2021</t>
  </si>
  <si>
    <t>Mat 02 Checklist A20 - Criteria 1</t>
  </si>
  <si>
    <t>Ene 01 Kriterium 9-10</t>
  </si>
  <si>
    <t>Hea02</t>
  </si>
  <si>
    <t>Hea 02 Emisjoner fra byggeprodukter - Criteria 3-4</t>
  </si>
  <si>
    <t>Crit. 3</t>
  </si>
  <si>
    <t>Crit. 4</t>
  </si>
  <si>
    <t>Man01</t>
  </si>
  <si>
    <t>Man 01 Criteria 11</t>
  </si>
  <si>
    <t>Man03</t>
  </si>
  <si>
    <t>Man04</t>
  </si>
  <si>
    <t>Tra01</t>
  </si>
  <si>
    <t>Mat06</t>
  </si>
  <si>
    <t>Mat07</t>
  </si>
  <si>
    <t>Wst01</t>
  </si>
  <si>
    <t>Crit. 5-6</t>
  </si>
  <si>
    <t>Crit. 5-9</t>
  </si>
  <si>
    <t>Crit. 5-13</t>
  </si>
  <si>
    <t>Man 03 Criteria 5-13</t>
  </si>
  <si>
    <t>Man05</t>
  </si>
  <si>
    <t>Man 05 Criteria 3</t>
  </si>
  <si>
    <t>Tra 01 Mobilitetsplan Criteria 6</t>
  </si>
  <si>
    <t>Crit. 5</t>
  </si>
  <si>
    <t>Crit. 1, 5</t>
  </si>
  <si>
    <t>Crit. 1, 4, 5</t>
  </si>
  <si>
    <t>Wst 01 Criteria 1, 4, 5</t>
  </si>
  <si>
    <t>Pol 1 UT. Pol02 og Pol 5 OK</t>
  </si>
  <si>
    <t>Pol 1 UT. Pol 2, Hea 02, Hea 03 OK</t>
  </si>
  <si>
    <t>Crit. 1-2</t>
  </si>
  <si>
    <t>Crit. 1-2, 3 (1 cre.)</t>
  </si>
  <si>
    <t>Mat 01 Criteria 1 - 3</t>
  </si>
  <si>
    <t>Mat 06 Materialeffektivitet Criteria 1</t>
  </si>
  <si>
    <t>Mat 07 Criteria 2-6</t>
  </si>
  <si>
    <t>Man 05: Non residential</t>
  </si>
  <si>
    <t>Ene01</t>
  </si>
  <si>
    <t>Boliger og boliginstitusjoner: 4</t>
  </si>
  <si>
    <t>Boliger og omsorgsboliger kan oppnå 2p for Inkluderende design. Alle andre kan oppnå 1p</t>
  </si>
  <si>
    <t>Tidligere navn:</t>
  </si>
  <si>
    <t>Crit. 1-8</t>
  </si>
  <si>
    <t>Crit. 1-4</t>
  </si>
  <si>
    <t>Mat 02 - Checklist A20 - Criteria 1</t>
  </si>
  <si>
    <t>Man 01 - Criteria 11</t>
  </si>
  <si>
    <t>Ene 01 - Kriterium 9-10</t>
  </si>
  <si>
    <t>Tra 01 - Mobilitetsplan Criteria 6</t>
  </si>
  <si>
    <t>Mat 06 - Materialeffektivitet Criteria 1</t>
  </si>
  <si>
    <t>Mat 07 - Criteria 2-6</t>
  </si>
  <si>
    <t>Man 05 - Criteria 3</t>
  </si>
  <si>
    <t>Third party stakeholder consultation</t>
  </si>
  <si>
    <t>BREEAM-NOR AP (stage 2 and 3)</t>
  </si>
  <si>
    <t>BREEAM-NOR AP (stage 4)</t>
  </si>
  <si>
    <t xml:space="preserve">Climate gas calculation for whole building life cycle </t>
  </si>
  <si>
    <t>Planning project delivery</t>
  </si>
  <si>
    <t>Elemental life cycle cost (LCC) and capital cost reporting</t>
  </si>
  <si>
    <t>Component level life option appraisal</t>
  </si>
  <si>
    <t>Environmental managment</t>
  </si>
  <si>
    <t>BREEAM-NOR AP and classification level (stage 5 and 6)</t>
  </si>
  <si>
    <t>Considerate construction managment</t>
  </si>
  <si>
    <t xml:space="preserve">Reduction of climate gas emissions from activites assosiated with the construction site </t>
  </si>
  <si>
    <t xml:space="preserve">Commissioning - testing schedule and responsibilities </t>
  </si>
  <si>
    <t>Commissioning - design, preperation and implementation</t>
  </si>
  <si>
    <t>Prepare for good handover</t>
  </si>
  <si>
    <t>Aftercare support</t>
  </si>
  <si>
    <t>Sesonal commisioning</t>
  </si>
  <si>
    <t>Post-occypancy evaluation</t>
  </si>
  <si>
    <t>Daylighting</t>
  </si>
  <si>
    <t xml:space="preserve">Control of glare from sunlight </t>
  </si>
  <si>
    <t xml:space="preserve">View out </t>
  </si>
  <si>
    <t xml:space="preserve">Sunlight </t>
  </si>
  <si>
    <t xml:space="preserve">Internal and external lighting levels, zoning and control </t>
  </si>
  <si>
    <t xml:space="preserve">Pre-requisite: indoor air quality </t>
  </si>
  <si>
    <t>Ventilation</t>
  </si>
  <si>
    <t xml:space="preserve">Emissions from construction products </t>
  </si>
  <si>
    <t xml:space="preserve">Post-construction indoor air quality measurement </t>
  </si>
  <si>
    <t xml:space="preserve">Thermal modelling </t>
  </si>
  <si>
    <t xml:space="preserve">Design for future thermal comfort </t>
  </si>
  <si>
    <t xml:space="preserve">Thermal zoning and controls </t>
  </si>
  <si>
    <t xml:space="preserve">Pre-requisite: suitably qualified acoustician </t>
  </si>
  <si>
    <t xml:space="preserve">Sound class requirements </t>
  </si>
  <si>
    <t xml:space="preserve">Inclusive design </t>
  </si>
  <si>
    <t xml:space="preserve">Biofilik design </t>
  </si>
  <si>
    <t xml:space="preserve">Private outdoor spaces </t>
  </si>
  <si>
    <t xml:space="preserve">Passive design </t>
  </si>
  <si>
    <t xml:space="preserve">Low and zero carbon technologies </t>
  </si>
  <si>
    <t xml:space="preserve">Energy performance </t>
  </si>
  <si>
    <t xml:space="preserve">Adaptation to EU taxonomy </t>
  </si>
  <si>
    <t xml:space="preserve">Prediction of operational energy consumption </t>
  </si>
  <si>
    <t xml:space="preserve">Sub-metering of end-use categories </t>
  </si>
  <si>
    <t xml:space="preserve">Sub-metering of high energy load and tenancy areas </t>
  </si>
  <si>
    <t xml:space="preserve">Sub-metering of energy consumption in residential buildings </t>
  </si>
  <si>
    <t>No external lighting within the construction zone</t>
  </si>
  <si>
    <t>External lighting within the construction zone</t>
  </si>
  <si>
    <t xml:space="preserve">Design of energy efficient refrigeration- and freezing room </t>
  </si>
  <si>
    <t xml:space="preserve">Indirect greenhouse gas emissions </t>
  </si>
  <si>
    <t xml:space="preserve">Energy consumption </t>
  </si>
  <si>
    <t xml:space="preserve">Energy efficient features </t>
  </si>
  <si>
    <t xml:space="preserve">Design specification </t>
  </si>
  <si>
    <t xml:space="preserve">Best practice energy efficient measures </t>
  </si>
  <si>
    <t xml:space="preserve">Reduction of the building's significant unregulated energy consumption </t>
  </si>
  <si>
    <t xml:space="preserve">Transport assessment and travel plan </t>
  </si>
  <si>
    <t xml:space="preserve">Travel plan emissions evaluation </t>
  </si>
  <si>
    <t>Prerequisite: Transport assessment and travel plan</t>
  </si>
  <si>
    <t xml:space="preserve">Transport options implementation </t>
  </si>
  <si>
    <t>Water efficient components</t>
  </si>
  <si>
    <t>Water meter</t>
  </si>
  <si>
    <t>Leak detection system</t>
  </si>
  <si>
    <t>Flow control devices (all buildings except residential)</t>
  </si>
  <si>
    <t>Leak isolation</t>
  </si>
  <si>
    <t>Pre-requisite: early stage greenhouse gas calculation</t>
  </si>
  <si>
    <t>Reduction of greenhouse gas emissions</t>
  </si>
  <si>
    <t>Life cycle assessment of the building</t>
  </si>
  <si>
    <t>Minimum req -  Absence of environmental toxins</t>
  </si>
  <si>
    <t xml:space="preserve">EPD for construction products </t>
  </si>
  <si>
    <t xml:space="preserve">Performance requirements for construction products </t>
  </si>
  <si>
    <t>Minimum req -  legal and sustainable timber</t>
  </si>
  <si>
    <t>Enabling sustainable procurement</t>
  </si>
  <si>
    <t>Responsible sourcing of relevant materials</t>
  </si>
  <si>
    <t>Pre-requisite: risk analysis</t>
  </si>
  <si>
    <t>Protect vulnerable parts of the building from damage</t>
  </si>
  <si>
    <t xml:space="preserve">Protecting exposed parts of the building from material degradation </t>
  </si>
  <si>
    <t>Moisture protecion on site</t>
  </si>
  <si>
    <t>Mapping for component reuse and implementation</t>
  </si>
  <si>
    <t>Material efficency</t>
  </si>
  <si>
    <t>Reuse of extern building components</t>
  </si>
  <si>
    <t>Material bank</t>
  </si>
  <si>
    <t xml:space="preserve">Design for disassembly and functional adaptability - recommendations </t>
  </si>
  <si>
    <t xml:space="preserve">Disassembly and functional adaptability - implementation </t>
  </si>
  <si>
    <t>Resource managment plan</t>
  </si>
  <si>
    <t>Amount of construction waste</t>
  </si>
  <si>
    <t>Waste sorting, reuse and recycling</t>
  </si>
  <si>
    <t>Sorting of waste</t>
  </si>
  <si>
    <t xml:space="preserve">User involvement surface finishes </t>
  </si>
  <si>
    <t>Wst 04 User involvement surface finishes</t>
  </si>
  <si>
    <t>Previously occupied land</t>
  </si>
  <si>
    <t>Pre-requisite: statutory obligations</t>
  </si>
  <si>
    <t>Survey and evaluation</t>
  </si>
  <si>
    <t>Determin ecological possibilities</t>
  </si>
  <si>
    <t>Pre-requisite: ecological risks and opportunities</t>
  </si>
  <si>
    <t>Planning and measures on site</t>
  </si>
  <si>
    <t>Managing negative impacts</t>
  </si>
  <si>
    <t>Pre-requisite: Managing negative impacts on ecology</t>
  </si>
  <si>
    <t>Ecological enhancement</t>
  </si>
  <si>
    <t>Calculation of change in biodiversity</t>
  </si>
  <si>
    <t>Pre-requisite: statutory obligations, planning and site implementation</t>
  </si>
  <si>
    <t>Management and maintenance throughout the project</t>
  </si>
  <si>
    <t>Landscape and ecology management plan</t>
  </si>
  <si>
    <t>Risk assessment</t>
  </si>
  <si>
    <t>Pre-requisite: Flood risk assessment</t>
  </si>
  <si>
    <t>Resilience against flood and storm surge</t>
  </si>
  <si>
    <t>Pre-requisite risk assessment and the "three- step strategy"</t>
  </si>
  <si>
    <t>Maximum run-off</t>
  </si>
  <si>
    <t>Measures for surface-based water management</t>
  </si>
  <si>
    <t>LE 06 Climate adaption</t>
  </si>
  <si>
    <t>LE 07 Flooding and storm surge</t>
  </si>
  <si>
    <t>LE 08 Local surface water handling</t>
  </si>
  <si>
    <t>a</t>
  </si>
  <si>
    <t>e</t>
  </si>
  <si>
    <t>d</t>
  </si>
  <si>
    <t>b</t>
  </si>
  <si>
    <t>c</t>
  </si>
  <si>
    <t>Inn 14</t>
  </si>
  <si>
    <t xml:space="preserve">Man 03: Reduction of direct emissions from construction sites </t>
  </si>
  <si>
    <t xml:space="preserve">Ene 01: Post-occupancy stage </t>
  </si>
  <si>
    <t>Wat 01: Highly water efficient components</t>
  </si>
  <si>
    <t xml:space="preserve">Mat 01: 60% reduction of greenhouse gas emission </t>
  </si>
  <si>
    <t>Mat 06: FutureBuilt criteria set for circular buildings, point 2.3 reuse of building components</t>
  </si>
  <si>
    <t xml:space="preserve">Wst 01: Especially low amount of construction waste </t>
  </si>
  <si>
    <t>LE 02: Wider sustainability for the site</t>
  </si>
  <si>
    <t>LE 04: Significant net gain of biodiversity</t>
  </si>
  <si>
    <t>LE 06: Responding to climate change</t>
  </si>
  <si>
    <t>LE 08: Wider approach to surface water management</t>
  </si>
  <si>
    <t xml:space="preserve">Hea 01: View out, high level </t>
  </si>
  <si>
    <t xml:space="preserve">Ene 01: Plus house </t>
  </si>
  <si>
    <t>Man 01a</t>
  </si>
  <si>
    <t>Man 01b</t>
  </si>
  <si>
    <t>Man 01c</t>
  </si>
  <si>
    <t>Man 01d</t>
  </si>
  <si>
    <t>Man 01e</t>
  </si>
  <si>
    <t>Man 02a</t>
  </si>
  <si>
    <t>Man 02b</t>
  </si>
  <si>
    <t>Man 03a</t>
  </si>
  <si>
    <t>Man 03b</t>
  </si>
  <si>
    <t>Man 03c</t>
  </si>
  <si>
    <t>Man 03d</t>
  </si>
  <si>
    <t>Man 04a</t>
  </si>
  <si>
    <t>Man 04b</t>
  </si>
  <si>
    <t>Man 04c</t>
  </si>
  <si>
    <t>Man 05a</t>
  </si>
  <si>
    <t>Man 05b</t>
  </si>
  <si>
    <t>Man 05c</t>
  </si>
  <si>
    <t>Hea 01a</t>
  </si>
  <si>
    <t>Hea 01b</t>
  </si>
  <si>
    <t>Hea 01c</t>
  </si>
  <si>
    <t>Hea 01d</t>
  </si>
  <si>
    <t>Hea 01e</t>
  </si>
  <si>
    <t>Hea 02a</t>
  </si>
  <si>
    <t>Hea 02b</t>
  </si>
  <si>
    <t>Hea 02c</t>
  </si>
  <si>
    <t>Hea 02d</t>
  </si>
  <si>
    <t>Hea 03a</t>
  </si>
  <si>
    <t>Hea 03b</t>
  </si>
  <si>
    <t>Hea 03c</t>
  </si>
  <si>
    <t>Hea 05a</t>
  </si>
  <si>
    <t>Hea 05b</t>
  </si>
  <si>
    <t>Hea 06a</t>
  </si>
  <si>
    <t>Hea 06b</t>
  </si>
  <si>
    <t>Hea 08a</t>
  </si>
  <si>
    <t>Ene 01a</t>
  </si>
  <si>
    <t>Ene 01b</t>
  </si>
  <si>
    <t>Ene 01c</t>
  </si>
  <si>
    <t>Ene 01d</t>
  </si>
  <si>
    <t>Ene 01e</t>
  </si>
  <si>
    <t>Ene 02c</t>
  </si>
  <si>
    <t>Ene 03a</t>
  </si>
  <si>
    <t>Ene 03b</t>
  </si>
  <si>
    <t>Ene 05a</t>
  </si>
  <si>
    <t>Ene 05b</t>
  </si>
  <si>
    <t>Ene 06a</t>
  </si>
  <si>
    <t>Ene 06b</t>
  </si>
  <si>
    <t>Ene 07a</t>
  </si>
  <si>
    <t>Ene 07b</t>
  </si>
  <si>
    <t>Ene 08a</t>
  </si>
  <si>
    <t>Tra 01a</t>
  </si>
  <si>
    <t>Tra 01b</t>
  </si>
  <si>
    <t>Tra 02a</t>
  </si>
  <si>
    <t>Tra 02b</t>
  </si>
  <si>
    <t>Wat 01a</t>
  </si>
  <si>
    <t>Wat 02a</t>
  </si>
  <si>
    <t>Wat 03a</t>
  </si>
  <si>
    <t>Wat 03b</t>
  </si>
  <si>
    <t>Wat 03c</t>
  </si>
  <si>
    <t>Wat 04a</t>
  </si>
  <si>
    <t>Mat 01a</t>
  </si>
  <si>
    <t>Mat 01b</t>
  </si>
  <si>
    <t>Mat 01c</t>
  </si>
  <si>
    <t>Mat 02a</t>
  </si>
  <si>
    <t>Mat 02b</t>
  </si>
  <si>
    <t>Mat 02c</t>
  </si>
  <si>
    <t>Mat 03a</t>
  </si>
  <si>
    <t>Mat 03b</t>
  </si>
  <si>
    <t>Mat 03c</t>
  </si>
  <si>
    <t>Mat 05a</t>
  </si>
  <si>
    <t>Mat 05b</t>
  </si>
  <si>
    <t>Mat 05c</t>
  </si>
  <si>
    <t>Mat 05d</t>
  </si>
  <si>
    <t>Mat 06a</t>
  </si>
  <si>
    <t>Mat 06b</t>
  </si>
  <si>
    <t>Mat 06c</t>
  </si>
  <si>
    <t>Mat 07a</t>
  </si>
  <si>
    <t>Mat 07b</t>
  </si>
  <si>
    <t>Mat 07c</t>
  </si>
  <si>
    <t>Wst 01a</t>
  </si>
  <si>
    <t>Wst 01b</t>
  </si>
  <si>
    <t>Wst 01c</t>
  </si>
  <si>
    <t>Wst 03aa</t>
  </si>
  <si>
    <t>Wst 03ba</t>
  </si>
  <si>
    <t>Wst 04a</t>
  </si>
  <si>
    <t>Wst 03a Operational waste</t>
  </si>
  <si>
    <t>Wst 03b Operational waste</t>
  </si>
  <si>
    <t>LE 01a</t>
  </si>
  <si>
    <t>LE 02a</t>
  </si>
  <si>
    <t>LE 02b</t>
  </si>
  <si>
    <t>LE 02c</t>
  </si>
  <si>
    <t>LE 03a</t>
  </si>
  <si>
    <t>LE 03b</t>
  </si>
  <si>
    <t>LE 03c</t>
  </si>
  <si>
    <t>LE 04a</t>
  </si>
  <si>
    <t>LE 04b</t>
  </si>
  <si>
    <t>LE 04c</t>
  </si>
  <si>
    <t>LE 05a</t>
  </si>
  <si>
    <t>LE 05b</t>
  </si>
  <si>
    <t>LE 05c</t>
  </si>
  <si>
    <t>LE 06a</t>
  </si>
  <si>
    <t>LE 07a</t>
  </si>
  <si>
    <t>LE 07b</t>
  </si>
  <si>
    <t>LE 08a</t>
  </si>
  <si>
    <t>LE 08b</t>
  </si>
  <si>
    <t>LE 08c</t>
  </si>
  <si>
    <t>POL 01a</t>
  </si>
  <si>
    <t>POL 01b</t>
  </si>
  <si>
    <t>POL 01c</t>
  </si>
  <si>
    <t>POL 02a</t>
  </si>
  <si>
    <t>POL 02b</t>
  </si>
  <si>
    <t>POL 04a</t>
  </si>
  <si>
    <t>POL 04b</t>
  </si>
  <si>
    <t>POL 05a</t>
  </si>
  <si>
    <t>POL 05b</t>
  </si>
  <si>
    <t>Exemplary Level</t>
  </si>
  <si>
    <t>Contr. to score</t>
  </si>
  <si>
    <t>U</t>
  </si>
  <si>
    <t>O: Outstanding</t>
  </si>
  <si>
    <t>E: Excellent</t>
  </si>
  <si>
    <t>VG: Very Good</t>
  </si>
  <si>
    <t>Available credits in all</t>
  </si>
  <si>
    <t>Available credits for this project</t>
  </si>
  <si>
    <t>Project brief &amp; design:</t>
  </si>
  <si>
    <t>Life cycle cost and service life planning:</t>
  </si>
  <si>
    <t>Visual comfort:</t>
  </si>
  <si>
    <t>Indoor air quality:</t>
  </si>
  <si>
    <t>Thermal comfort:</t>
  </si>
  <si>
    <t>Thermal zoning and controls</t>
  </si>
  <si>
    <t>Safe and healthy environment:</t>
  </si>
  <si>
    <t>Inclusive design</t>
  </si>
  <si>
    <t>Biofilik design</t>
  </si>
  <si>
    <t>Building energy performance:</t>
  </si>
  <si>
    <t>Energy monitoring:</t>
  </si>
  <si>
    <t>Transport assessment and travel plan</t>
  </si>
  <si>
    <t>Sustainable transport measures</t>
  </si>
  <si>
    <t>Environmental impacts from construction products - LCA and greenhouse gas calculations</t>
  </si>
  <si>
    <t>Environmental impacts from construction products - EPDs</t>
  </si>
  <si>
    <t>Responsible sourcing of construction products</t>
  </si>
  <si>
    <t>Disassembly and adaptibility</t>
  </si>
  <si>
    <t>Disassembly and functional adaptability - implementation</t>
  </si>
  <si>
    <t>Ecological risks and opportunities</t>
  </si>
  <si>
    <t>LE03</t>
  </si>
  <si>
    <t>Managing impacts on ecology</t>
  </si>
  <si>
    <t>Ecological change and enhancement</t>
  </si>
  <si>
    <t>Climate adaption</t>
  </si>
  <si>
    <t>LE07</t>
  </si>
  <si>
    <t>Flooding and storm surge</t>
  </si>
  <si>
    <t>LE08</t>
  </si>
  <si>
    <t>Local surface water handling</t>
  </si>
  <si>
    <t>Local air quality</t>
  </si>
  <si>
    <t xml:space="preserve">Reduction of direct emissions from construction sites </t>
  </si>
  <si>
    <t>Hea01</t>
  </si>
  <si>
    <t xml:space="preserve">Daylighting, high level </t>
  </si>
  <si>
    <t xml:space="preserve">View out, high level </t>
  </si>
  <si>
    <t xml:space="preserve">Emissions from construction products  </t>
  </si>
  <si>
    <t xml:space="preserve">Post-occupancy stage </t>
  </si>
  <si>
    <t xml:space="preserve">Plus house </t>
  </si>
  <si>
    <t>Wat01</t>
  </si>
  <si>
    <t>Highly water efficient components</t>
  </si>
  <si>
    <t xml:space="preserve">60% reduction of greenhouse gas emission </t>
  </si>
  <si>
    <t>FutureBuilt criteria set for circular buildings, point 2.3 reuse of building components</t>
  </si>
  <si>
    <t xml:space="preserve">Especially low amount of construction waste </t>
  </si>
  <si>
    <t>LE02</t>
  </si>
  <si>
    <t>Wider sustainability for the site</t>
  </si>
  <si>
    <t>LE04</t>
  </si>
  <si>
    <t>Significant net gain of biodiversity</t>
  </si>
  <si>
    <t>LE06</t>
  </si>
  <si>
    <t>Responding to climate change</t>
  </si>
  <si>
    <t>Wider approach to surface water management</t>
  </si>
  <si>
    <t>ikke sum med makspoeng</t>
  </si>
  <si>
    <t>Min. std. Level</t>
  </si>
  <si>
    <t>Man Sum</t>
  </si>
  <si>
    <t>Hea sum</t>
  </si>
  <si>
    <t>Ene sum</t>
  </si>
  <si>
    <t>Tra sum</t>
  </si>
  <si>
    <t>Wat sum</t>
  </si>
  <si>
    <t>Mat sum</t>
  </si>
  <si>
    <t>Wst sum</t>
  </si>
  <si>
    <t>LE sum</t>
  </si>
  <si>
    <t>POL sum</t>
  </si>
  <si>
    <t>Inn sum</t>
  </si>
  <si>
    <t>Transport needs and usage patterns</t>
  </si>
  <si>
    <t xml:space="preserve">Kontrollplan og fuktmålinger </t>
  </si>
  <si>
    <t xml:space="preserve">Bygging under tildekking  </t>
  </si>
  <si>
    <t>Mat 05e</t>
  </si>
  <si>
    <t>Pol 01b</t>
  </si>
  <si>
    <t>POL 01d</t>
  </si>
  <si>
    <t>Forkrav: 2. Belastning fra kuldemedier</t>
  </si>
  <si>
    <t>No refrigerants in the building</t>
  </si>
  <si>
    <t>Leak detection</t>
  </si>
  <si>
    <t>Heating and hot water is supplied by non-combustions system</t>
  </si>
  <si>
    <t>Heating and hot water is supplied by combustions plant</t>
  </si>
  <si>
    <t>Reduction of night time light pollution</t>
  </si>
  <si>
    <t xml:space="preserve">No external lighting pollution </t>
  </si>
  <si>
    <t>Minimizing external light pollution</t>
  </si>
  <si>
    <t>No noise-sensitive areas</t>
  </si>
  <si>
    <t>Minimizing noise pollution in noise-sensitive areas</t>
  </si>
  <si>
    <t>POL 05 Reduction of noise pollution</t>
  </si>
  <si>
    <t>f</t>
  </si>
  <si>
    <t>Man 03e</t>
  </si>
  <si>
    <t>Man 03f</t>
  </si>
  <si>
    <t>Ansvarlig byggeledelse: RTB og sjekkliste A1</t>
  </si>
  <si>
    <t>Ansvarlig byggeledelse: INSTA 800 og sjekkliste A1</t>
  </si>
  <si>
    <t>Energiforbruk fra aktiviteter på byggeplassen (steg 2-4)</t>
  </si>
  <si>
    <t>Energiforbruk tilknyttet transport av masser og avfall  (steg 2-4)</t>
  </si>
  <si>
    <t>Energieffektive funksjoner heis</t>
  </si>
  <si>
    <t>Energieffektive funksjoner rulletrapp</t>
  </si>
  <si>
    <t>Ene 06c</t>
  </si>
  <si>
    <t>Flow control devices</t>
  </si>
  <si>
    <r>
      <rPr>
        <b/>
        <sz val="11"/>
        <color rgb="FFFFFFFF"/>
        <rFont val="Calibri"/>
        <family val="2"/>
      </rPr>
      <t>Pol 01:</t>
    </r>
    <r>
      <rPr>
        <sz val="11"/>
        <color indexed="9"/>
        <rFont val="Calibri"/>
        <family val="2"/>
      </rPr>
      <t xml:space="preserve"> Refrigerants in the building?</t>
    </r>
  </si>
  <si>
    <t>Non-combustions system</t>
  </si>
  <si>
    <t>Combustions plant</t>
  </si>
  <si>
    <r>
      <rPr>
        <b/>
        <sz val="11"/>
        <color rgb="FFFFFFFF"/>
        <rFont val="Calibri"/>
        <family val="2"/>
      </rPr>
      <t xml:space="preserve">Pol 05: </t>
    </r>
    <r>
      <rPr>
        <sz val="11"/>
        <color indexed="9"/>
        <rFont val="Calibri"/>
        <family val="2"/>
      </rPr>
      <t>Noise-sensitive areas?</t>
    </r>
  </si>
  <si>
    <r>
      <rPr>
        <b/>
        <sz val="11"/>
        <color rgb="FFFFFFFF"/>
        <rFont val="Calibri"/>
        <family val="2"/>
      </rPr>
      <t>Ene 05:</t>
    </r>
    <r>
      <rPr>
        <sz val="11"/>
        <color indexed="9"/>
        <rFont val="Calibri"/>
        <family val="2"/>
      </rPr>
      <t xml:space="preserve"> Commercial/industrial refrigeration and cold storage systems?</t>
    </r>
  </si>
  <si>
    <r>
      <rPr>
        <b/>
        <sz val="11"/>
        <color rgb="FFFFFFFF"/>
        <rFont val="Calibri"/>
        <family val="2"/>
      </rPr>
      <t>Ene 06:</t>
    </r>
    <r>
      <rPr>
        <sz val="11"/>
        <color indexed="9"/>
        <rFont val="Calibri"/>
        <family val="2"/>
      </rPr>
      <t xml:space="preserve"> Does the building contain  lifts, escalators or moving walks?</t>
    </r>
  </si>
  <si>
    <t xml:space="preserve">Inn 01 - Man 03: Reduction of direct emissions from construction sites </t>
  </si>
  <si>
    <t xml:space="preserve">Inn 02 - Hea 01: Daylighting, high level </t>
  </si>
  <si>
    <t xml:space="preserve">Inn 03 - Hea 01: View out, high level </t>
  </si>
  <si>
    <t xml:space="preserve">Inn 04 - Hea 02: Emissions from construction products  </t>
  </si>
  <si>
    <t xml:space="preserve">Inn 05 - Ene 01: Post-occupancy stage </t>
  </si>
  <si>
    <t xml:space="preserve">Inn 06 - Ene 01: Plus house </t>
  </si>
  <si>
    <t>Inn 07 - Wat 01: Highly water efficient components</t>
  </si>
  <si>
    <t xml:space="preserve">Inn 08 - Mat 01: 60% reduction of greenhouse gas emission </t>
  </si>
  <si>
    <t>Inn 09 - Mat 06: FutureBuilt criteria set for circular buildings, point 2.3 reuse of building components</t>
  </si>
  <si>
    <t xml:space="preserve">Inn 10 - Wst 01: Especially low amount of construction waste </t>
  </si>
  <si>
    <t>Inn 11 - LE 02: Wider sustainability for the site</t>
  </si>
  <si>
    <t>Inn 12 - LE 04: Significant net gain of biodiversity</t>
  </si>
  <si>
    <t>Inn 13 - LE 06: Responding to climate change</t>
  </si>
  <si>
    <t>Inn 14 - LE 08: Wider approach to surface water management</t>
  </si>
  <si>
    <t>Yes - lifts and escalators/moving walks</t>
  </si>
  <si>
    <t>Yes - escalators/moving walks</t>
  </si>
  <si>
    <t>Yes - lifts</t>
  </si>
  <si>
    <t>Ved 1 poeng, sjekk type</t>
  </si>
  <si>
    <t>hvis 1 poeng . Sjekk type</t>
  </si>
  <si>
    <t>sjekk type og rett poeng</t>
  </si>
  <si>
    <t>sjekk rett</t>
  </si>
  <si>
    <t>Ene07</t>
  </si>
  <si>
    <t>Mat05</t>
  </si>
  <si>
    <t>Wst03</t>
  </si>
  <si>
    <t>Wst 03</t>
  </si>
  <si>
    <t>Mat02</t>
  </si>
  <si>
    <t>Mat03</t>
  </si>
  <si>
    <t>Bespoke foreløpig - mulig utgå</t>
  </si>
  <si>
    <t>VALG BESPOKE</t>
  </si>
  <si>
    <t>BREEAM-NOR AP and BREEAM performance targets (stage 5 and 6)</t>
  </si>
  <si>
    <t>Hea 01f</t>
  </si>
  <si>
    <t>Mat 02 Environmental impacts from construction products - product requirements</t>
  </si>
  <si>
    <t>Mat 05 Designing for durability and climate adaption</t>
  </si>
  <si>
    <t>Wst 04 Speculative finishes</t>
  </si>
  <si>
    <t>5 mm precipitation</t>
  </si>
  <si>
    <t>LE 08d</t>
  </si>
  <si>
    <t>Non-combustion heating and hot water system</t>
  </si>
  <si>
    <t>Combustion-powered heating and hot water</t>
  </si>
  <si>
    <t>BREEAM-NOR v6.0 New Construction Pre-Assessment Estimator</t>
  </si>
  <si>
    <r>
      <rPr>
        <b/>
        <sz val="11"/>
        <color theme="1"/>
        <rFont val="Calibri"/>
        <family val="2"/>
        <scheme val="minor"/>
      </rPr>
      <t xml:space="preserve">Starting a pre-assessment </t>
    </r>
    <r>
      <rPr>
        <sz val="11"/>
        <color theme="1"/>
        <rFont val="Calibri"/>
        <family val="2"/>
        <scheme val="minor"/>
      </rPr>
      <t xml:space="preserve">
You have downloaded and opened the template version of the BREEAM-NOR v6.0 Pre-Assessment Estimator. The template version must always be used to start a new pre-assessment of a building. 
To begin a pre-assessment of a building you must first define a few characteristics of the building requiring pre-assessment in the Assessment Details worksheet. This information ensures the Pre-Assessment Estimator selects the correct number of BREEAM-NOR issues and credits for the building. </t>
    </r>
  </si>
  <si>
    <t>BREEAM-NOR v6.0 New Construction Pre-Assessment Estimator: Assessment Details</t>
  </si>
  <si>
    <t>Note: If you are starting a new pre-assessment please ensure you are using the latest template version of the BREEAM-NOR v6.0 Pre-Assessment Estimator and not a version used for an existing/previous pre-assessment.</t>
  </si>
  <si>
    <t>BREEAM-NOR v6.0 New Construction Pre-Assessment Estimator: Building Performance</t>
  </si>
  <si>
    <t>BREEAM-NOR v6.0 New Construction Pre-Assessment Estimator: Summary of Building Performance</t>
  </si>
  <si>
    <t>BREEAM-NOR v6.0 New Construction Pre-Assessment Estimator: Version Control</t>
  </si>
  <si>
    <t>Vekting</t>
  </si>
  <si>
    <t>Innredet</t>
  </si>
  <si>
    <t>Uinnredet</t>
  </si>
  <si>
    <t>Råbygg</t>
  </si>
  <si>
    <t>Valg</t>
  </si>
  <si>
    <t>Fully fitted</t>
  </si>
  <si>
    <t>Shell only</t>
  </si>
  <si>
    <t xml:space="preserve">Requirements for EU taxonomy </t>
  </si>
  <si>
    <t>EU Taksonomi</t>
  </si>
  <si>
    <t xml:space="preserve">Ingen vesentlig skade (DNSH) </t>
  </si>
  <si>
    <t>Bidra vesentlig til å redusere klimaendringer</t>
  </si>
  <si>
    <t>Samlet</t>
  </si>
  <si>
    <t>INITIAL</t>
  </si>
  <si>
    <t>DESIGN</t>
  </si>
  <si>
    <t>CONSTRUCTION</t>
  </si>
  <si>
    <t>Oppfyller taksonomi = nei</t>
  </si>
  <si>
    <t>Wst 01d</t>
  </si>
  <si>
    <t>LE 01b</t>
  </si>
  <si>
    <t>Minimum req: legal and sustainable timber</t>
  </si>
  <si>
    <t>Pre-requisite: managing negative impacts on ecology</t>
  </si>
  <si>
    <t>Pre-requisite: flood risk assessment</t>
  </si>
  <si>
    <t>Pre-requisite: risk assessment and the "three- step strategy"</t>
  </si>
  <si>
    <t>Pre-requisite: transport assessment and travel plan</t>
  </si>
  <si>
    <t>Pre-requisite: impact of refrigerants</t>
  </si>
  <si>
    <t>Pre-requisite: Transport assessment and travel plan</t>
  </si>
  <si>
    <r>
      <rPr>
        <b/>
        <sz val="11"/>
        <color rgb="FFFFFFFF"/>
        <rFont val="Calibri"/>
        <family val="2"/>
      </rPr>
      <t xml:space="preserve">Mat 06: </t>
    </r>
    <r>
      <rPr>
        <sz val="11"/>
        <color indexed="9"/>
        <rFont val="Calibri"/>
        <family val="2"/>
      </rPr>
      <t>Demolition in the development area (mapping for component reuse)?</t>
    </r>
  </si>
  <si>
    <t xml:space="preserve">Hea 06: Biofilik design </t>
  </si>
  <si>
    <r>
      <t xml:space="preserve">Wat 04: </t>
    </r>
    <r>
      <rPr>
        <sz val="11"/>
        <color rgb="FFFFFFFF"/>
        <rFont val="Calibri"/>
        <family val="2"/>
      </rPr>
      <t>Water demand in building (beyond Wat 01)</t>
    </r>
    <r>
      <rPr>
        <b/>
        <sz val="11"/>
        <color rgb="FFFFFFFF"/>
        <rFont val="Calibri"/>
        <family val="2"/>
      </rPr>
      <t>?</t>
    </r>
  </si>
  <si>
    <t>Energy consumption from activities on the construction site (step 2-4)</t>
  </si>
  <si>
    <t>Energy consumption from transport of masses and waste (step 2-4)</t>
  </si>
  <si>
    <t>Energy efficient features: lifts</t>
  </si>
  <si>
    <t>Energy efficient features: escalators or moving walks</t>
  </si>
  <si>
    <t>Control plan and moisture measurements</t>
  </si>
  <si>
    <t>Construction under cover</t>
  </si>
  <si>
    <t>To activate select YES in cell S8</t>
  </si>
  <si>
    <t>To activate select YES in cell Z8</t>
  </si>
  <si>
    <r>
      <rPr>
        <b/>
        <sz val="11"/>
        <color rgb="FFFFFFFF"/>
        <rFont val="Calibri"/>
        <family val="2"/>
      </rPr>
      <t>Ene 08: A</t>
    </r>
    <r>
      <rPr>
        <sz val="11"/>
        <color indexed="9"/>
        <rFont val="Calibri"/>
        <family val="2"/>
      </rPr>
      <t>ny unregulated energy loads in building?</t>
    </r>
  </si>
  <si>
    <t>Initial Release Version of BREEAM-NOR v0.6 New Construction Pre-Assessment Tool.</t>
  </si>
  <si>
    <t>Other</t>
  </si>
  <si>
    <t>Transportation hub (coach or bus station and above ground rail station)</t>
  </si>
  <si>
    <t>Research and development (category 2 or 3 laboratories - non-higher education)</t>
  </si>
  <si>
    <t>Crèche</t>
  </si>
  <si>
    <t>Fire stations</t>
  </si>
  <si>
    <t>Visitor centres</t>
  </si>
  <si>
    <r>
      <rPr>
        <b/>
        <sz val="11"/>
        <color rgb="FFFFFFFF"/>
        <rFont val="Calibri"/>
        <family val="2"/>
      </rPr>
      <t>Ene 03, Pol 04:</t>
    </r>
    <r>
      <rPr>
        <sz val="11"/>
        <color indexed="9"/>
        <rFont val="Calibri"/>
        <family val="2"/>
      </rPr>
      <t xml:space="preserve"> External lighting within the construction zone?</t>
    </r>
  </si>
  <si>
    <t>Synlig (1=ja)</t>
  </si>
  <si>
    <r>
      <rPr>
        <b/>
        <sz val="11"/>
        <color indexed="9"/>
        <rFont val="Calibri"/>
        <family val="2"/>
      </rPr>
      <t xml:space="preserve">Pol 05: </t>
    </r>
    <r>
      <rPr>
        <sz val="11"/>
        <color indexed="9"/>
        <rFont val="Calibri"/>
        <family val="2"/>
      </rPr>
      <t>Does the building have a need for heating, ventilation or air conditioning?</t>
    </r>
  </si>
  <si>
    <t>BREEAM-NOR v6.0 Issue</t>
  </si>
  <si>
    <t>BREEAM-NOR v6.0</t>
  </si>
  <si>
    <t>Mat 07 Design for disassembly and adaptability</t>
  </si>
  <si>
    <t>Resource inventory</t>
  </si>
  <si>
    <t>1.0</t>
  </si>
  <si>
    <r>
      <rPr>
        <b/>
        <sz val="11"/>
        <color theme="1"/>
        <rFont val="Calibri"/>
        <family val="2"/>
        <scheme val="minor"/>
      </rPr>
      <t xml:space="preserve">Disclaimer </t>
    </r>
    <r>
      <rPr>
        <sz val="11"/>
        <color theme="1"/>
        <rFont val="Calibri"/>
        <family val="2"/>
        <scheme val="minor"/>
      </rPr>
      <t xml:space="preserve">
Thank you for downloading and using the BREEAM-NOR Versjon 6.0. New Construction Pre-Assessment Estimator. 
If you are using the Pre-Assessment Estimator for the first time please take a few moments to read the following: 
The Pre-Assessment Estimator is the property of Grønn Byggallianse (NGBC) and BRE Global Ltd and is made publicly available for information purposes only. Its use for testing, assessment, certification or approval is not permitted. The results presented are indicative only of a building's potential performance and are based on a simplified, informal assessment and unverified commitments. The results do not represent a formal certified BREEAM-NOR assessment or rating and must not be communicated or presented as a BREEAM-NOR rating. NGBC/BRE Group Ltd. accepts no responsibility for any actions taken as a result of information presented or interpreted by the BREEAM-NOR Pre-Assessment Estimator. </t>
    </r>
  </si>
  <si>
    <r>
      <rPr>
        <b/>
        <sz val="11"/>
        <color theme="1"/>
        <rFont val="Calibri"/>
        <family val="2"/>
        <scheme val="minor"/>
      </rPr>
      <t xml:space="preserve">Completing a pre-assessment </t>
    </r>
    <r>
      <rPr>
        <sz val="11"/>
        <color theme="1"/>
        <rFont val="Calibri"/>
        <family val="2"/>
        <scheme val="minor"/>
      </rPr>
      <t xml:space="preserve">
These questions are arranged by assessment issue. The number of indicative BREEAM-NOR credits achieved and overall performance will depend on your response to each question. In most cases, questions are answered by entering the number of BREEAM-NOR credits you wish to award. 
Before proceeding with the pre-assessment it is recommended that you save a copy of the Pre-Assessment Estimator using the building name and date as a filename, for example: BREEAM-NOR v6.0 Pre-Assessment Estimator_v1.0 - Office HQ 1/11/16.</t>
    </r>
  </si>
  <si>
    <t>Developed for Grønn Byggallianse (Norwegian Green Building Council) by Asplan Viak</t>
  </si>
  <si>
    <t>, a qualified BREEAM-NOR assessor working on behalf of  confirm that the content of this report is to the best of my knowledge a true and accurate reflection of the performance of the above named building, as measured against the assessment criteria and reporting requirements of the BREEAM-NOR Scheme Document (SD5076NOR). Furthermore, I confirm that this assessment and the information on which it is based has been checked and verified in accordance with NGBC/BRE Group Ltd's UKAS accredited BREEAM-NOR operating procedures for BREEAM-NOR assessments and assessors, as described in the  technical scheme document (SD5076NOR) and associated BREEAM-NOR operational documents.</t>
  </si>
  <si>
    <t>This Pre-Assessment Estimator is the property of NGBC and BRE Group Ltd. and is made publicly available for information purposes only. Its use for testing, assessment, certification or approval is not permitted. The results presented are indicative only of a building's potential performance which is based on a simplified, informal assessment and unverified commitments. The results do not represent a formal certified BREEAM-NOR assessment or rating and must not be communicated as such. NGBC/BRE Group Ltd. accepts no responsibility for any actions taken as a result of information presented or interpreted by the BREEAM-NOR Pre-Assessment Estimator. To carry out a formal BREEAM-NOR assessment contact a licensed BREEAM-NOR Assessor organisation. A list of licensed BREEAM-NOR Assessors is available from the www.byggalliansen.no and Green Book Live website: www.greenbooklive.com</t>
  </si>
  <si>
    <r>
      <rPr>
        <b/>
        <sz val="11"/>
        <color rgb="FFFFFFFF"/>
        <rFont val="Calibri"/>
        <family val="2"/>
      </rPr>
      <t>Ene 07:</t>
    </r>
    <r>
      <rPr>
        <sz val="11"/>
        <color indexed="9"/>
        <rFont val="Calibri"/>
        <family val="2"/>
      </rPr>
      <t xml:space="preserve"> Laboratory function/area and size cate</t>
    </r>
    <r>
      <rPr>
        <sz val="11"/>
        <color rgb="FFFFFFFF"/>
        <rFont val="Calibri"/>
        <family val="2"/>
      </rPr>
      <t>gory:</t>
    </r>
  </si>
  <si>
    <r>
      <rPr>
        <b/>
        <sz val="11"/>
        <color rgb="FFFFFFFF"/>
        <rFont val="Calibri"/>
        <family val="2"/>
      </rPr>
      <t xml:space="preserve">Pol 02: </t>
    </r>
    <r>
      <rPr>
        <sz val="11"/>
        <color indexed="9"/>
        <rFont val="Calibri"/>
        <family val="2"/>
      </rPr>
      <t>Heating and hot water is supplied by:</t>
    </r>
  </si>
  <si>
    <t>Pre-requisite: statutory obligations fulfilled</t>
  </si>
  <si>
    <t>Ene 01Tx</t>
  </si>
  <si>
    <t>Wat 01Tx</t>
  </si>
  <si>
    <t>Wst 01TX</t>
  </si>
  <si>
    <t>Wst 01Tx</t>
  </si>
  <si>
    <t>EU taxonomy requirement: criterion 1</t>
  </si>
  <si>
    <t>Mat 06d</t>
  </si>
  <si>
    <t>1.1</t>
  </si>
  <si>
    <r>
      <rPr>
        <b/>
        <sz val="11"/>
        <color rgb="FF000000"/>
        <rFont val="Calibri"/>
        <family val="2"/>
      </rPr>
      <t>Wat 01, Wst 01, Ene 01</t>
    </r>
    <r>
      <rPr>
        <sz val="11"/>
        <color indexed="8"/>
        <rFont val="Calibri"/>
        <family val="2"/>
      </rPr>
      <t xml:space="preserve">: EU taxonomy requirement added
</t>
    </r>
    <r>
      <rPr>
        <b/>
        <sz val="11"/>
        <color rgb="FF000000"/>
        <rFont val="Calibri"/>
        <family val="2"/>
      </rPr>
      <t xml:space="preserve">Mat 06: </t>
    </r>
    <r>
      <rPr>
        <sz val="11"/>
        <color indexed="8"/>
        <rFont val="Calibri"/>
        <family val="2"/>
      </rPr>
      <t xml:space="preserve">Added minimum req: mapping for component reuse  - criterion 1
</t>
    </r>
    <r>
      <rPr>
        <b/>
        <sz val="11"/>
        <color rgb="FF000000"/>
        <rFont val="Calibri"/>
        <family val="2"/>
      </rPr>
      <t>Wat 01:</t>
    </r>
    <r>
      <rPr>
        <sz val="11"/>
        <color indexed="8"/>
        <rFont val="Calibri"/>
        <family val="2"/>
      </rPr>
      <t xml:space="preserve"> Updated Minimum requirements
</t>
    </r>
    <r>
      <rPr>
        <b/>
        <sz val="11"/>
        <color rgb="FF000000"/>
        <rFont val="Calibri"/>
        <family val="2"/>
      </rPr>
      <t>LE 01:</t>
    </r>
    <r>
      <rPr>
        <sz val="11"/>
        <color indexed="8"/>
        <rFont val="Calibri"/>
        <family val="2"/>
      </rPr>
      <t xml:space="preserve"> Updated Minimum requirements 
</t>
    </r>
    <r>
      <rPr>
        <b/>
        <sz val="11"/>
        <color rgb="FF000000"/>
        <rFont val="Calibri"/>
        <family val="2"/>
      </rPr>
      <t>Hea 02:</t>
    </r>
    <r>
      <rPr>
        <sz val="11"/>
        <color indexed="8"/>
        <rFont val="Calibri"/>
        <family val="2"/>
      </rPr>
      <t xml:space="preserve"> Updated pre-requisite for industrial building without office
</t>
    </r>
    <r>
      <rPr>
        <b/>
        <sz val="11"/>
        <color rgb="FF000000"/>
        <rFont val="Calibri"/>
        <family val="2"/>
      </rPr>
      <t xml:space="preserve">Pol 05: </t>
    </r>
    <r>
      <rPr>
        <sz val="11"/>
        <color indexed="8"/>
        <rFont val="Calibri"/>
        <family val="2"/>
      </rPr>
      <t>Updated building categories</t>
    </r>
  </si>
  <si>
    <t>1.2</t>
  </si>
  <si>
    <r>
      <rPr>
        <b/>
        <sz val="11"/>
        <color rgb="FF000000"/>
        <rFont val="Calibri"/>
        <family val="2"/>
      </rPr>
      <t xml:space="preserve">Le 01: </t>
    </r>
    <r>
      <rPr>
        <sz val="11"/>
        <color rgb="FF000000"/>
        <rFont val="Calibri"/>
        <family val="2"/>
      </rPr>
      <t xml:space="preserve">Fixed Minimum req: agricultural area / forest - criterion 2 for EU taxonomy
</t>
    </r>
    <r>
      <rPr>
        <b/>
        <sz val="11"/>
        <color rgb="FF000000"/>
        <rFont val="Calibri"/>
        <family val="2"/>
      </rPr>
      <t>Mat 06:</t>
    </r>
    <r>
      <rPr>
        <sz val="11"/>
        <color rgb="FF000000"/>
        <rFont val="Calibri"/>
        <family val="2"/>
      </rPr>
      <t xml:space="preserve"> If no Demolition in the development area (mapping for component reuse): criteria is filtered out of the assessment.
</t>
    </r>
    <r>
      <rPr>
        <b/>
        <sz val="11"/>
        <color rgb="FF000000"/>
        <rFont val="Calibri"/>
        <family val="2"/>
      </rPr>
      <t>Man 03:</t>
    </r>
    <r>
      <rPr>
        <sz val="11"/>
        <color rgb="FF000000"/>
        <rFont val="Calibri"/>
        <family val="2"/>
      </rPr>
      <t xml:space="preserve"> Added Considerate contruction: INSTA 800 and checklist A1 for EU taxonomy.
</t>
    </r>
    <r>
      <rPr>
        <b/>
        <sz val="11"/>
        <color rgb="FF000000"/>
        <rFont val="Calibri"/>
        <family val="2"/>
      </rPr>
      <t>Hea 02</t>
    </r>
    <r>
      <rPr>
        <sz val="11"/>
        <color rgb="FF000000"/>
        <rFont val="Calibri"/>
        <family val="2"/>
      </rPr>
      <t xml:space="preserve">: - Requirement: The project must have achieved credits in </t>
    </r>
    <r>
      <rPr>
        <b/>
        <sz val="11"/>
        <color rgb="FF000000"/>
        <rFont val="Calibri"/>
        <family val="2"/>
      </rPr>
      <t xml:space="preserve">Mat 05 </t>
    </r>
    <r>
      <rPr>
        <sz val="11"/>
        <color rgb="FF000000"/>
        <rFont val="Calibri"/>
        <family val="2"/>
      </rPr>
      <t xml:space="preserve">criteria 6–8
</t>
    </r>
    <r>
      <rPr>
        <b/>
        <sz val="11"/>
        <color rgb="FF000000"/>
        <rFont val="Calibri"/>
        <family val="2"/>
      </rPr>
      <t xml:space="preserve">Ene 07: </t>
    </r>
    <r>
      <rPr>
        <sz val="11"/>
        <color rgb="FF000000"/>
        <rFont val="Calibri"/>
        <family val="2"/>
      </rPr>
      <t>Fixed This issue is not applicable to school buildings (primary and secondary level).</t>
    </r>
  </si>
  <si>
    <t>Achieved</t>
  </si>
  <si>
    <t>Not achieved</t>
  </si>
  <si>
    <r>
      <t>Ene 02:</t>
    </r>
    <r>
      <rPr>
        <sz val="11"/>
        <color rgb="FFFFFFFF"/>
        <rFont val="Calibri"/>
        <family val="2"/>
      </rPr>
      <t xml:space="preserve"> Sub-metering of high energy loads and tenancy areas. Is post-occupancy stage Ene 01 credits targeted?</t>
    </r>
  </si>
  <si>
    <r>
      <rPr>
        <b/>
        <sz val="11"/>
        <color indexed="9"/>
        <rFont val="Calibri"/>
        <family val="2"/>
      </rPr>
      <t xml:space="preserve">Hea 02, Hea 03: </t>
    </r>
    <r>
      <rPr>
        <sz val="11"/>
        <color indexed="9"/>
        <rFont val="Calibri"/>
        <family val="2"/>
      </rPr>
      <t>Does this industrial building have an office area or other occupied space?</t>
    </r>
  </si>
  <si>
    <t>1.3</t>
  </si>
  <si>
    <t>Description of changes/additions made to the BREEAM Assessment Pre-Assessment Estimator</t>
  </si>
  <si>
    <t>Hea 01g</t>
  </si>
  <si>
    <t>Pre-requisite: limitation of light flicker and stroboscopic effect</t>
  </si>
  <si>
    <t>Pre-requisite: daylight assessments</t>
  </si>
  <si>
    <r>
      <rPr>
        <b/>
        <sz val="11"/>
        <color rgb="FF000000"/>
        <rFont val="Calibri"/>
        <family val="2"/>
      </rPr>
      <t xml:space="preserve">EU taxonomy requirement: </t>
    </r>
    <r>
      <rPr>
        <sz val="11"/>
        <color rgb="FF000000"/>
        <rFont val="Calibri"/>
        <family val="2"/>
      </rPr>
      <t xml:space="preserve">Updtated all requirements, added table under Summary of Building Performance
</t>
    </r>
    <r>
      <rPr>
        <b/>
        <sz val="11"/>
        <color rgb="FF000000"/>
        <rFont val="Calibri"/>
        <family val="2"/>
      </rPr>
      <t>Hea 01</t>
    </r>
    <r>
      <rPr>
        <sz val="11"/>
        <color rgb="FF000000"/>
        <rFont val="Calibri"/>
        <family val="2"/>
      </rPr>
      <t xml:space="preserve">: Pre-requisite requirement splitted in two: </t>
    </r>
    <r>
      <rPr>
        <i/>
        <sz val="11"/>
        <color rgb="FF000000"/>
        <rFont val="Calibri"/>
        <family val="2"/>
      </rPr>
      <t>limitation of light flicker and stroboscopic effect</t>
    </r>
    <r>
      <rPr>
        <sz val="11"/>
        <color rgb="FF000000"/>
        <rFont val="Calibri"/>
        <family val="2"/>
      </rPr>
      <t xml:space="preserve"> and </t>
    </r>
    <r>
      <rPr>
        <i/>
        <sz val="11"/>
        <color rgb="FF000000"/>
        <rFont val="Calibri"/>
        <family val="2"/>
      </rPr>
      <t>daylight assessments</t>
    </r>
    <r>
      <rPr>
        <b/>
        <sz val="11"/>
        <color rgb="FF000000"/>
        <rFont val="Calibri"/>
        <family val="2"/>
      </rPr>
      <t xml:space="preserve">
General</t>
    </r>
    <r>
      <rPr>
        <sz val="11"/>
        <color rgb="FF000000"/>
        <rFont val="Calibri"/>
        <family val="2"/>
      </rPr>
      <t>: Fixed general issues, added filter PAE available for copy.</t>
    </r>
  </si>
  <si>
    <t>Næring</t>
  </si>
  <si>
    <t>Offentlig bygg (ikke boligformål)</t>
  </si>
  <si>
    <t>Boliger</t>
  </si>
  <si>
    <t>Flerboerbygg og omsorgsboliger</t>
  </si>
  <si>
    <t>Climate gas calculation for whole building life cycle (EU taxonomy requirement: criterion 2-3)</t>
  </si>
  <si>
    <t>Adaptation to EU taxonomy (criterion 12)</t>
  </si>
  <si>
    <t>Considerate contruction: clean and tidy building process and checklist A1 (EU taxonomy requirement: criterion 7-9)</t>
  </si>
  <si>
    <t>Considerate contruction: INSTA 800 and checklist A1 (EU taxonomy requirement: criterion 7-9)</t>
  </si>
  <si>
    <t>Emissions from construction products (EU taxonomy requirement: criterion 5)</t>
  </si>
  <si>
    <t>Minimum req: agricultural area / forest (EU taxonomy requirement: criterion 2)</t>
  </si>
  <si>
    <t>Survey and evaluation (EU taxonomy requirement: criterion 2-4)</t>
  </si>
  <si>
    <t>Planning and measures on site (EU taxonomy requirement: criterion 2-6)</t>
  </si>
  <si>
    <t>Managing negative impacts (EU taxonomy requirement: criterion 2-6)</t>
  </si>
  <si>
    <t>Risk assessment (EU taxonomy requirement: criterion 1-6)</t>
  </si>
  <si>
    <t>EU taxonomy requirement: criterion 4, waste sorting ≥70%</t>
  </si>
  <si>
    <t>EU taxonomy requirements: criterion 1-3</t>
  </si>
  <si>
    <t>Minimum req: absence of environmental toxins (EU taxonomy requirement: criterion 1)</t>
  </si>
  <si>
    <t>Minimum req: mapping for component reuse - criterion 1</t>
  </si>
  <si>
    <t>EU taxonomy requirements: criterion 10 - thermographic survey</t>
  </si>
  <si>
    <t>Hea 02: Emissions from construction products</t>
  </si>
  <si>
    <t>Mat 03 - Responsible sourcing of mat. - Crit 1.</t>
  </si>
  <si>
    <t>Option 2: - 50% credit</t>
  </si>
  <si>
    <t>Mat 03 Responsible sourcing of mat. - Crit 1.</t>
  </si>
  <si>
    <t>Pre-requisite: flicker reduction and daylight calculations</t>
  </si>
  <si>
    <t>Mapping for component reuse and implementation (EU taxonomy requirement: criterion 1-3)</t>
  </si>
  <si>
    <t>Design for disassembly and functional adaptability - recommendations (EU taxonomy requirement: criterion 2-6)</t>
  </si>
  <si>
    <t>Disassembly and functional adaptability - implementation (EU taxonomy requirement: criterion 2-6)</t>
  </si>
  <si>
    <t>Minimum requirement</t>
  </si>
  <si>
    <t/>
  </si>
  <si>
    <t>Climate gas calculation for whole building life cycle: criterion 2-3</t>
  </si>
  <si>
    <t>Considerate contruction: clean and tidy building process and checklist A1: criterion 7-9</t>
  </si>
  <si>
    <t>Considerate contruction: INSTA 800 and checklist A1: criterion 7-9</t>
  </si>
  <si>
    <t>Emissions from construction products: criterion 5</t>
  </si>
  <si>
    <t>Thermographic survey: criterion 10</t>
  </si>
  <si>
    <t>Adaptation to EU taxonomy: criterion 12</t>
  </si>
  <si>
    <t>Minimum req: absence of environmental toxins: criterion 1</t>
  </si>
  <si>
    <t>Mapping for component reuse and implementation: criterion 1-3</t>
  </si>
  <si>
    <t>Design for disassembly and functional adaptability - recommendations: criterion 2-6</t>
  </si>
  <si>
    <t>Disassembly and functional adaptability - implementation: criterion 2-6</t>
  </si>
  <si>
    <t>Waste sorting ≥70%: criterion 4</t>
  </si>
  <si>
    <t>Minimum req: agricultural area / forest: criterion 2</t>
  </si>
  <si>
    <t>Survey and evaluation: criterion 2-4</t>
  </si>
  <si>
    <t>Planning and measures on site: criterion 2-6</t>
  </si>
  <si>
    <t>Managing negative impacts: criterion 2-6</t>
  </si>
  <si>
    <t>Risk assessment: criterion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</si>
</sst>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
    <numFmt numFmtId="165" formatCode="[$-F800]dddd\,\ mmmm\ dd\,\ yyyy"/>
    <numFmt numFmtId="166" formatCode="0.0"/>
  </numFmts>
  <fonts count="114" x14ac:knownFonts="1">
    <font>
      <sz val="11"/>
      <color theme="1"/>
      <name val="Calibri"/>
      <family val="2"/>
      <scheme val="minor"/>
    </font>
    <font>
      <sz val="11"/>
      <color indexed="8"/>
      <name val="Calibri"/>
      <family val="2"/>
    </font>
    <font>
      <sz val="10"/>
      <name val="Arial"/>
      <family val="2"/>
    </font>
    <font>
      <sz val="9"/>
      <color indexed="8"/>
      <name val="Calibri"/>
      <family val="2"/>
    </font>
    <font>
      <sz val="12"/>
      <color indexed="8"/>
      <name val="Calibri"/>
      <family val="2"/>
    </font>
    <font>
      <sz val="12"/>
      <name val="Calibri"/>
      <family val="2"/>
    </font>
    <font>
      <sz val="11"/>
      <color indexed="8"/>
      <name val="Calibri"/>
      <family val="2"/>
    </font>
    <font>
      <sz val="11"/>
      <color indexed="9"/>
      <name val="Calibri"/>
      <family val="2"/>
    </font>
    <font>
      <b/>
      <sz val="11"/>
      <color indexed="9"/>
      <name val="Calibri"/>
      <family val="2"/>
    </font>
    <font>
      <sz val="11"/>
      <name val="Calibri"/>
      <family val="2"/>
    </font>
    <font>
      <b/>
      <sz val="12"/>
      <color indexed="8"/>
      <name val="Calibri"/>
      <family val="2"/>
    </font>
    <font>
      <sz val="12"/>
      <color indexed="8"/>
      <name val="Calibri"/>
      <family val="2"/>
    </font>
    <font>
      <sz val="11"/>
      <color indexed="57"/>
      <name val="Calibri"/>
      <family val="2"/>
    </font>
    <font>
      <i/>
      <sz val="11"/>
      <color indexed="23"/>
      <name val="Calibri"/>
      <family val="2"/>
    </font>
    <font>
      <b/>
      <sz val="11"/>
      <color indexed="10"/>
      <name val="Calibri"/>
      <family val="2"/>
    </font>
    <font>
      <sz val="9"/>
      <color indexed="8"/>
      <name val="Calibri"/>
      <family val="2"/>
    </font>
    <font>
      <sz val="12"/>
      <color indexed="9"/>
      <name val="Calibri"/>
      <family val="2"/>
    </font>
    <font>
      <sz val="12"/>
      <name val="Calibri"/>
      <family val="2"/>
    </font>
    <font>
      <i/>
      <sz val="12"/>
      <name val="Calibri"/>
      <family val="2"/>
    </font>
    <font>
      <b/>
      <sz val="14"/>
      <color indexed="9"/>
      <name val="Calibri"/>
      <family val="2"/>
    </font>
    <font>
      <sz val="16"/>
      <color indexed="9"/>
      <name val="Calibri"/>
      <family val="2"/>
    </font>
    <font>
      <b/>
      <sz val="16"/>
      <color indexed="9"/>
      <name val="Calibri"/>
      <family val="2"/>
    </font>
    <font>
      <sz val="8"/>
      <name val="Calibri"/>
      <family val="2"/>
    </font>
    <font>
      <sz val="11"/>
      <color theme="0"/>
      <name val="Calibri"/>
      <family val="2"/>
      <scheme val="minor"/>
    </font>
    <font>
      <sz val="11"/>
      <color rgb="FFFF0000"/>
      <name val="Calibri"/>
      <family val="2"/>
      <scheme val="minor"/>
    </font>
    <font>
      <b/>
      <sz val="14"/>
      <color rgb="FF3D6864"/>
      <name val="Calibri"/>
      <family val="2"/>
      <scheme val="minor"/>
    </font>
    <font>
      <sz val="11"/>
      <name val="Calibri"/>
      <family val="2"/>
      <scheme val="minor"/>
    </font>
    <font>
      <sz val="11"/>
      <color rgb="FFFF0000"/>
      <name val="Calibri"/>
      <family val="2"/>
    </font>
    <font>
      <b/>
      <sz val="14"/>
      <color theme="0"/>
      <name val="Calibri"/>
      <family val="2"/>
      <scheme val="minor"/>
    </font>
    <font>
      <sz val="11"/>
      <color rgb="FF406564"/>
      <name val="Calibri"/>
      <family val="2"/>
      <scheme val="minor"/>
    </font>
    <font>
      <b/>
      <sz val="12"/>
      <color theme="0"/>
      <name val="Calibri"/>
      <family val="2"/>
    </font>
    <font>
      <b/>
      <sz val="16"/>
      <color theme="0"/>
      <name val="Calibri"/>
      <family val="2"/>
      <scheme val="minor"/>
    </font>
    <font>
      <b/>
      <sz val="11"/>
      <color theme="1"/>
      <name val="Calibri"/>
      <family val="2"/>
      <scheme val="minor"/>
    </font>
    <font>
      <i/>
      <sz val="11"/>
      <name val="Calibri"/>
      <family val="2"/>
    </font>
    <font>
      <vertAlign val="superscript"/>
      <sz val="11"/>
      <color indexed="9"/>
      <name val="Calibri"/>
      <family val="2"/>
    </font>
    <font>
      <sz val="11"/>
      <color theme="1"/>
      <name val="Calibri"/>
      <family val="2"/>
    </font>
    <font>
      <b/>
      <sz val="14"/>
      <color rgb="FF406564"/>
      <name val="Calibri"/>
      <family val="2"/>
      <scheme val="minor"/>
    </font>
    <font>
      <b/>
      <sz val="11"/>
      <name val="Calibri"/>
      <family val="2"/>
      <scheme val="minor"/>
    </font>
    <font>
      <i/>
      <sz val="11"/>
      <color theme="1" tint="0.499984740745262"/>
      <name val="Calibri"/>
      <family val="2"/>
      <scheme val="minor"/>
    </font>
    <font>
      <b/>
      <sz val="11"/>
      <color theme="0"/>
      <name val="Calibri"/>
      <family val="2"/>
    </font>
    <font>
      <i/>
      <sz val="11"/>
      <color indexed="9"/>
      <name val="Calibri"/>
      <family val="2"/>
    </font>
    <font>
      <b/>
      <sz val="11"/>
      <color rgb="FF406564"/>
      <name val="Calibri"/>
      <family val="2"/>
      <scheme val="minor"/>
    </font>
    <font>
      <i/>
      <sz val="11"/>
      <color theme="1"/>
      <name val="Calibri"/>
      <family val="2"/>
      <scheme val="minor"/>
    </font>
    <font>
      <i/>
      <sz val="11"/>
      <color rgb="FFFF0000"/>
      <name val="Calibri"/>
      <family val="2"/>
    </font>
    <font>
      <sz val="18"/>
      <color rgb="FF406564"/>
      <name val="Calibri"/>
      <family val="2"/>
      <scheme val="minor"/>
    </font>
    <font>
      <i/>
      <sz val="11"/>
      <color theme="1"/>
      <name val="Calibri"/>
      <family val="2"/>
    </font>
    <font>
      <b/>
      <sz val="11"/>
      <color rgb="FFFF0000"/>
      <name val="Calibri"/>
      <family val="2"/>
      <scheme val="minor"/>
    </font>
    <font>
      <b/>
      <sz val="12"/>
      <color rgb="FFFF0000"/>
      <name val="Calibri"/>
      <family val="2"/>
    </font>
    <font>
      <sz val="20"/>
      <color rgb="FFFF0000"/>
      <name val="Calibri"/>
      <family val="2"/>
      <scheme val="minor"/>
    </font>
    <font>
      <sz val="18"/>
      <color rgb="FFFF0000"/>
      <name val="Calibri"/>
      <family val="2"/>
      <scheme val="minor"/>
    </font>
    <font>
      <sz val="8"/>
      <color theme="1"/>
      <name val="Calibri"/>
      <family val="2"/>
      <scheme val="minor"/>
    </font>
    <font>
      <b/>
      <sz val="8"/>
      <color theme="1"/>
      <name val="Calibri"/>
      <family val="2"/>
      <scheme val="minor"/>
    </font>
    <font>
      <sz val="8"/>
      <name val="Calibri"/>
      <family val="2"/>
      <scheme val="minor"/>
    </font>
    <font>
      <sz val="10"/>
      <color rgb="FF006100"/>
      <name val="Calibri Light"/>
      <family val="2"/>
    </font>
    <font>
      <sz val="9"/>
      <color theme="1"/>
      <name val="Calibri"/>
      <family val="2"/>
      <scheme val="minor"/>
    </font>
    <font>
      <b/>
      <sz val="9"/>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b/>
      <sz val="14"/>
      <color indexed="9"/>
      <name val="Calibri"/>
      <family val="2"/>
    </font>
    <font>
      <sz val="11"/>
      <color indexed="9"/>
      <name val="Calibri"/>
      <family val="2"/>
    </font>
    <font>
      <b/>
      <sz val="11"/>
      <color indexed="10"/>
      <name val="Calibri"/>
      <family val="2"/>
    </font>
    <font>
      <b/>
      <sz val="11"/>
      <color rgb="FFFF0000"/>
      <name val="Calibri"/>
      <family val="2"/>
      <scheme val="minor"/>
    </font>
    <font>
      <b/>
      <sz val="14"/>
      <color rgb="FF3D6864"/>
      <name val="Calibri"/>
      <family val="2"/>
      <scheme val="minor"/>
    </font>
    <font>
      <b/>
      <sz val="12"/>
      <color indexed="8"/>
      <name val="Calibri"/>
      <family val="2"/>
    </font>
    <font>
      <sz val="12"/>
      <color indexed="8"/>
      <name val="Calibri"/>
      <family val="2"/>
    </font>
    <font>
      <b/>
      <sz val="12"/>
      <color indexed="9"/>
      <name val="Calibri"/>
      <family val="2"/>
    </font>
    <font>
      <sz val="12"/>
      <color indexed="9"/>
      <name val="Calibri"/>
      <family val="2"/>
    </font>
    <font>
      <sz val="12"/>
      <color rgb="FF3D6864"/>
      <name val="Calibri"/>
      <family val="2"/>
    </font>
    <font>
      <sz val="11"/>
      <color rgb="FF3D6864"/>
      <name val="Calibri"/>
      <family val="2"/>
      <scheme val="minor"/>
    </font>
    <font>
      <sz val="12"/>
      <color theme="1"/>
      <name val="Calibri"/>
      <family val="2"/>
      <scheme val="minor"/>
    </font>
    <font>
      <sz val="12"/>
      <name val="Calibri"/>
      <family val="2"/>
    </font>
    <font>
      <b/>
      <sz val="12"/>
      <color rgb="FF3D6864"/>
      <name val="Calibri"/>
      <family val="2"/>
    </font>
    <font>
      <sz val="12"/>
      <color rgb="FF406564"/>
      <name val="Calibri"/>
      <family val="2"/>
    </font>
    <font>
      <sz val="11"/>
      <name val="Calibri"/>
      <family val="2"/>
      <scheme val="minor"/>
    </font>
    <font>
      <sz val="11"/>
      <color indexed="57"/>
      <name val="Calibri"/>
      <family val="2"/>
    </font>
    <font>
      <sz val="11"/>
      <color theme="1"/>
      <name val="Calibri"/>
      <family val="2"/>
    </font>
    <font>
      <sz val="12"/>
      <color theme="1"/>
      <name val="Calibri"/>
      <family val="2"/>
    </font>
    <font>
      <sz val="9"/>
      <color indexed="8"/>
      <name val="Calibri"/>
      <family val="2"/>
    </font>
    <font>
      <sz val="9"/>
      <color theme="1"/>
      <name val="Calibri"/>
      <family val="2"/>
    </font>
    <font>
      <sz val="8"/>
      <color indexed="8"/>
      <name val="Calibri"/>
      <family val="2"/>
    </font>
    <font>
      <sz val="11"/>
      <color rgb="FFFF0000"/>
      <name val="Calibri"/>
      <family val="2"/>
    </font>
    <font>
      <b/>
      <sz val="14"/>
      <color theme="0"/>
      <name val="Calibri"/>
      <family val="2"/>
    </font>
    <font>
      <sz val="9"/>
      <color indexed="81"/>
      <name val="Tahoma"/>
      <family val="2"/>
    </font>
    <font>
      <sz val="11"/>
      <color theme="1"/>
      <name val="Calibri"/>
      <family val="2"/>
      <scheme val="minor"/>
    </font>
    <font>
      <b/>
      <sz val="16"/>
      <color theme="0"/>
      <name val="Calibri"/>
      <family val="2"/>
      <scheme val="minor"/>
    </font>
    <font>
      <sz val="11"/>
      <name val="Calibri"/>
      <family val="2"/>
    </font>
    <font>
      <b/>
      <sz val="11"/>
      <color rgb="FFFF0000"/>
      <name val="Calibri"/>
      <family val="2"/>
      <scheme val="minor"/>
    </font>
    <font>
      <b/>
      <sz val="11"/>
      <color theme="1"/>
      <name val="Calibri"/>
      <family val="2"/>
      <scheme val="minor"/>
    </font>
    <font>
      <b/>
      <sz val="16"/>
      <color theme="0"/>
      <name val="Calibri"/>
      <family val="2"/>
    </font>
    <font>
      <b/>
      <sz val="11"/>
      <color theme="0"/>
      <name val="Calibri"/>
      <family val="2"/>
      <scheme val="minor"/>
    </font>
    <font>
      <sz val="18"/>
      <color theme="0"/>
      <name val="Calibri"/>
      <family val="2"/>
      <scheme val="minor"/>
    </font>
    <font>
      <sz val="9"/>
      <name val="Calibri"/>
      <family val="2"/>
      <scheme val="minor"/>
    </font>
    <font>
      <sz val="12"/>
      <color rgb="FFFF0000"/>
      <name val="Calibri"/>
      <family val="2"/>
    </font>
    <font>
      <sz val="11"/>
      <color rgb="FF00B050"/>
      <name val="Calibri"/>
      <family val="2"/>
      <scheme val="minor"/>
    </font>
    <font>
      <sz val="11"/>
      <color rgb="FFFFFFFF"/>
      <name val="Calibri"/>
      <family val="2"/>
    </font>
    <font>
      <sz val="14"/>
      <color theme="0"/>
      <name val="Calibri"/>
      <family val="2"/>
      <scheme val="minor"/>
    </font>
    <font>
      <sz val="8"/>
      <color theme="0" tint="-0.34998626667073579"/>
      <name val="Calibri"/>
      <family val="2"/>
      <scheme val="minor"/>
    </font>
    <font>
      <b/>
      <sz val="8"/>
      <color theme="0" tint="-0.34998626667073579"/>
      <name val="Calibri"/>
      <family val="2"/>
      <scheme val="minor"/>
    </font>
    <font>
      <sz val="10"/>
      <color theme="0" tint="-0.34998626667073579"/>
      <name val="Calibri Light"/>
      <family val="2"/>
    </font>
    <font>
      <b/>
      <sz val="10"/>
      <color rgb="FF006100"/>
      <name val="Calibri Light"/>
      <family val="2"/>
    </font>
    <font>
      <b/>
      <sz val="10"/>
      <color rgb="FFFF0000"/>
      <name val="Calibri Light"/>
      <family val="2"/>
    </font>
    <font>
      <b/>
      <sz val="8"/>
      <name val="Calibri"/>
      <family val="2"/>
      <scheme val="minor"/>
    </font>
    <font>
      <sz val="11"/>
      <color theme="0" tint="-0.14999847407452621"/>
      <name val="Calibri"/>
      <family val="2"/>
      <scheme val="minor"/>
    </font>
    <font>
      <b/>
      <sz val="11"/>
      <color theme="0" tint="-0.14999847407452621"/>
      <name val="Calibri"/>
      <family val="2"/>
      <scheme val="minor"/>
    </font>
    <font>
      <b/>
      <sz val="9"/>
      <color indexed="81"/>
      <name val="Tahoma"/>
      <family val="2"/>
    </font>
    <font>
      <b/>
      <sz val="11"/>
      <color rgb="FFFFFFFF"/>
      <name val="Calibri"/>
      <family val="2"/>
    </font>
    <font>
      <b/>
      <sz val="14"/>
      <color rgb="FFFF0000"/>
      <name val="Calibri"/>
      <family val="2"/>
    </font>
    <font>
      <sz val="9"/>
      <color rgb="FF00B050"/>
      <name val="Calibri"/>
      <family val="2"/>
      <scheme val="minor"/>
    </font>
    <font>
      <b/>
      <sz val="9"/>
      <color rgb="FF00B050"/>
      <name val="Calibri"/>
      <family val="2"/>
      <scheme val="minor"/>
    </font>
    <font>
      <sz val="11"/>
      <color rgb="FF56B146"/>
      <name val="Calibri"/>
      <family val="2"/>
      <scheme val="minor"/>
    </font>
    <font>
      <b/>
      <sz val="11"/>
      <color rgb="FF000000"/>
      <name val="Calibri"/>
      <family val="2"/>
    </font>
    <font>
      <sz val="11"/>
      <color rgb="FF000000"/>
      <name val="Calibri"/>
      <family val="2"/>
    </font>
    <font>
      <i/>
      <sz val="11"/>
      <color rgb="FF000000"/>
      <name val="Calibri"/>
      <family val="2"/>
    </font>
  </fonts>
  <fills count="28">
    <fill>
      <patternFill patternType="none"/>
    </fill>
    <fill>
      <patternFill patternType="gray125"/>
    </fill>
    <fill>
      <patternFill patternType="solid">
        <fgColor indexed="9"/>
        <bgColor indexed="64"/>
      </patternFill>
    </fill>
    <fill>
      <patternFill patternType="solid">
        <fgColor rgb="FF3D6864"/>
        <bgColor indexed="64"/>
      </patternFill>
    </fill>
    <fill>
      <patternFill patternType="solid">
        <fgColor theme="0"/>
        <bgColor indexed="64"/>
      </patternFill>
    </fill>
    <fill>
      <patternFill patternType="solid">
        <fgColor theme="0" tint="-0.14999847407452621"/>
        <bgColor indexed="64"/>
      </patternFill>
    </fill>
    <fill>
      <patternFill patternType="solid">
        <fgColor rgb="FF406564"/>
        <bgColor indexed="64"/>
      </patternFill>
    </fill>
    <fill>
      <patternFill patternType="solid">
        <fgColor rgb="FFFFC000"/>
        <bgColor indexed="64"/>
      </patternFill>
    </fill>
    <fill>
      <patternFill patternType="solid">
        <fgColor theme="6"/>
        <bgColor indexed="64"/>
      </patternFill>
    </fill>
    <fill>
      <patternFill patternType="solid">
        <fgColor theme="5"/>
        <bgColor indexed="64"/>
      </patternFill>
    </fill>
    <fill>
      <patternFill patternType="solid">
        <fgColor theme="3"/>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56B146"/>
        <bgColor indexed="64"/>
      </patternFill>
    </fill>
    <fill>
      <patternFill patternType="solid">
        <fgColor rgb="FFFFD146"/>
        <bgColor indexed="64"/>
      </patternFill>
    </fill>
    <fill>
      <patternFill patternType="solid">
        <fgColor rgb="FFF16161"/>
        <bgColor indexed="64"/>
      </patternFill>
    </fill>
    <fill>
      <patternFill patternType="solid">
        <fgColor rgb="FFC6EFCE"/>
      </patternFill>
    </fill>
    <fill>
      <patternFill patternType="solid">
        <fgColor rgb="FFFFFF00"/>
        <bgColor indexed="64"/>
      </patternFill>
    </fill>
    <fill>
      <patternFill patternType="solid">
        <fgColor theme="0" tint="-0.249977111117893"/>
        <bgColor indexed="64"/>
      </patternFill>
    </fill>
    <fill>
      <patternFill patternType="solid">
        <fgColor theme="9"/>
        <bgColor indexed="64"/>
      </patternFill>
    </fill>
    <fill>
      <patternFill patternType="solid">
        <fgColor theme="7"/>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tint="-0.249977111117893"/>
        <bgColor indexed="64"/>
      </patternFill>
    </fill>
  </fills>
  <borders count="16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bottom style="thin">
        <color theme="0"/>
      </bottom>
      <diagonal/>
    </border>
    <border>
      <left style="thin">
        <color theme="0"/>
      </left>
      <right/>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right style="thin">
        <color theme="0"/>
      </right>
      <top/>
      <bottom style="thin">
        <color theme="0"/>
      </bottom>
      <diagonal/>
    </border>
    <border>
      <left/>
      <right style="medium">
        <color rgb="FF3D6864"/>
      </right>
      <top/>
      <bottom/>
      <diagonal/>
    </border>
    <border>
      <left style="thin">
        <color indexed="64"/>
      </left>
      <right style="medium">
        <color rgb="FF3D6864"/>
      </right>
      <top style="thin">
        <color indexed="64"/>
      </top>
      <bottom style="thin">
        <color indexed="64"/>
      </bottom>
      <diagonal/>
    </border>
    <border>
      <left style="thin">
        <color theme="0"/>
      </left>
      <right style="medium">
        <color rgb="FF3D6864"/>
      </right>
      <top style="thin">
        <color theme="0"/>
      </top>
      <bottom style="thin">
        <color theme="0"/>
      </bottom>
      <diagonal/>
    </border>
    <border>
      <left style="thin">
        <color theme="0"/>
      </left>
      <right style="medium">
        <color rgb="FF3D6864"/>
      </right>
      <top/>
      <bottom style="thin">
        <color theme="0"/>
      </bottom>
      <diagonal/>
    </border>
    <border>
      <left/>
      <right style="medium">
        <color rgb="FF3D6864"/>
      </right>
      <top/>
      <bottom style="thin">
        <color theme="0"/>
      </bottom>
      <diagonal/>
    </border>
    <border>
      <left style="medium">
        <color rgb="FF3D6864"/>
      </left>
      <right/>
      <top/>
      <bottom/>
      <diagonal/>
    </border>
    <border>
      <left/>
      <right style="medium">
        <color rgb="FF3D6864"/>
      </right>
      <top/>
      <bottom style="thin">
        <color indexed="64"/>
      </bottom>
      <diagonal/>
    </border>
    <border>
      <left style="medium">
        <color rgb="FF3D6864"/>
      </left>
      <right style="thin">
        <color theme="0"/>
      </right>
      <top/>
      <bottom style="thin">
        <color theme="0"/>
      </bottom>
      <diagonal/>
    </border>
    <border>
      <left style="medium">
        <color rgb="FF3D6864"/>
      </left>
      <right style="thin">
        <color indexed="64"/>
      </right>
      <top style="thin">
        <color indexed="64"/>
      </top>
      <bottom style="thin">
        <color indexed="64"/>
      </bottom>
      <diagonal/>
    </border>
    <border>
      <left style="medium">
        <color rgb="FF3D6864"/>
      </left>
      <right style="thin">
        <color theme="0"/>
      </right>
      <top style="thin">
        <color theme="0"/>
      </top>
      <bottom style="thin">
        <color theme="0"/>
      </bottom>
      <diagonal/>
    </border>
    <border>
      <left/>
      <right/>
      <top/>
      <bottom style="thin">
        <color theme="0"/>
      </bottom>
      <diagonal/>
    </border>
    <border>
      <left style="medium">
        <color rgb="FF3D6864"/>
      </left>
      <right/>
      <top/>
      <bottom style="thin">
        <color theme="0"/>
      </bottom>
      <diagonal/>
    </border>
    <border>
      <left style="medium">
        <color rgb="FF3D6864"/>
      </left>
      <right/>
      <top style="thin">
        <color theme="0"/>
      </top>
      <bottom style="thin">
        <color theme="0"/>
      </bottom>
      <diagonal/>
    </border>
    <border>
      <left style="medium">
        <color rgb="FF3D6864"/>
      </left>
      <right style="medium">
        <color rgb="FF3D6864"/>
      </right>
      <top/>
      <bottom style="thin">
        <color indexed="64"/>
      </bottom>
      <diagonal/>
    </border>
    <border>
      <left style="medium">
        <color rgb="FF3D6864"/>
      </left>
      <right style="medium">
        <color rgb="FF3D6864"/>
      </right>
      <top/>
      <bottom style="thin">
        <color theme="0"/>
      </bottom>
      <diagonal/>
    </border>
    <border>
      <left style="medium">
        <color rgb="FF3D6864"/>
      </left>
      <right style="medium">
        <color rgb="FF3D6864"/>
      </right>
      <top style="thin">
        <color indexed="64"/>
      </top>
      <bottom style="thin">
        <color indexed="64"/>
      </bottom>
      <diagonal/>
    </border>
    <border>
      <left style="medium">
        <color rgb="FF3D68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theme="0"/>
      </left>
      <right style="thin">
        <color theme="0"/>
      </right>
      <top style="thin">
        <color theme="0"/>
      </top>
      <bottom style="medium">
        <color rgb="FF3D6864"/>
      </bottom>
      <diagonal/>
    </border>
    <border>
      <left style="thin">
        <color theme="0"/>
      </left>
      <right style="medium">
        <color rgb="FF3D6864"/>
      </right>
      <top style="thin">
        <color theme="0"/>
      </top>
      <bottom style="medium">
        <color rgb="FF3D6864"/>
      </bottom>
      <diagonal/>
    </border>
    <border>
      <left/>
      <right style="thin">
        <color theme="0"/>
      </right>
      <top style="thin">
        <color theme="0"/>
      </top>
      <bottom style="medium">
        <color rgb="FF3D6864"/>
      </bottom>
      <diagonal/>
    </border>
    <border>
      <left style="thin">
        <color theme="0"/>
      </left>
      <right/>
      <top style="thin">
        <color theme="0"/>
      </top>
      <bottom style="medium">
        <color rgb="FF3D6864"/>
      </bottom>
      <diagonal/>
    </border>
    <border>
      <left/>
      <right style="medium">
        <color rgb="FF3D6864"/>
      </right>
      <top style="thin">
        <color theme="0"/>
      </top>
      <bottom style="medium">
        <color rgb="FF3D6864"/>
      </bottom>
      <diagonal/>
    </border>
    <border>
      <left/>
      <right/>
      <top style="thin">
        <color theme="0"/>
      </top>
      <bottom style="medium">
        <color rgb="FF3D6864"/>
      </bottom>
      <diagonal/>
    </border>
    <border>
      <left/>
      <right/>
      <top style="thin">
        <color indexed="64"/>
      </top>
      <bottom style="medium">
        <color rgb="FF3D6864"/>
      </bottom>
      <diagonal/>
    </border>
    <border>
      <left/>
      <right style="medium">
        <color rgb="FF3D6864"/>
      </right>
      <top style="thin">
        <color indexed="64"/>
      </top>
      <bottom style="medium">
        <color rgb="FF3D6864"/>
      </bottom>
      <diagonal/>
    </border>
    <border>
      <left style="medium">
        <color rgb="FF3D6864"/>
      </left>
      <right style="thin">
        <color rgb="FF3D6864"/>
      </right>
      <top/>
      <bottom/>
      <diagonal/>
    </border>
    <border>
      <left style="thin">
        <color rgb="FF3D6864"/>
      </left>
      <right style="thin">
        <color rgb="FF3D6864"/>
      </right>
      <top/>
      <bottom/>
      <diagonal/>
    </border>
    <border>
      <left/>
      <right style="thin">
        <color theme="0"/>
      </right>
      <top/>
      <bottom/>
      <diagonal/>
    </border>
    <border>
      <left/>
      <right style="thin">
        <color indexed="64"/>
      </right>
      <top style="thin">
        <color indexed="64"/>
      </top>
      <bottom style="medium">
        <color indexed="64"/>
      </bottom>
      <diagonal/>
    </border>
    <border>
      <left style="thin">
        <color indexed="64"/>
      </left>
      <right/>
      <top style="thin">
        <color indexed="64"/>
      </top>
      <bottom style="thin">
        <color theme="0"/>
      </bottom>
      <diagonal/>
    </border>
    <border>
      <left style="thin">
        <color indexed="64"/>
      </left>
      <right/>
      <top style="thin">
        <color theme="0"/>
      </top>
      <bottom style="thin">
        <color theme="0"/>
      </bottom>
      <diagonal/>
    </border>
    <border>
      <left/>
      <right/>
      <top style="thin">
        <color indexed="64"/>
      </top>
      <bottom style="thin">
        <color theme="0"/>
      </bottom>
      <diagonal/>
    </border>
    <border>
      <left/>
      <right/>
      <top style="thin">
        <color theme="0"/>
      </top>
      <bottom style="thin">
        <color indexed="64"/>
      </bottom>
      <diagonal/>
    </border>
    <border>
      <left/>
      <right style="thin">
        <color indexed="64"/>
      </right>
      <top style="thin">
        <color theme="0"/>
      </top>
      <bottom style="thin">
        <color theme="0"/>
      </bottom>
      <diagonal/>
    </border>
    <border>
      <left/>
      <right style="thin">
        <color indexed="64"/>
      </right>
      <top style="thin">
        <color theme="0"/>
      </top>
      <bottom style="thin">
        <color indexed="64"/>
      </bottom>
      <diagonal/>
    </border>
    <border>
      <left/>
      <right/>
      <top style="medium">
        <color indexed="64"/>
      </top>
      <bottom style="thin">
        <color indexed="64"/>
      </bottom>
      <diagonal/>
    </border>
    <border>
      <left/>
      <right style="thin">
        <color indexed="64"/>
      </right>
      <top style="thin">
        <color indexed="64"/>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thin">
        <color theme="0"/>
      </bottom>
      <diagonal/>
    </border>
    <border>
      <left style="thin">
        <color rgb="FF3D6864"/>
      </left>
      <right style="thin">
        <color rgb="FF3D6864"/>
      </right>
      <top/>
      <bottom style="thin">
        <color indexed="64"/>
      </bottom>
      <diagonal/>
    </border>
    <border>
      <left style="thin">
        <color rgb="FF3D6864"/>
      </left>
      <right style="medium">
        <color rgb="FF3D6864"/>
      </right>
      <top/>
      <bottom/>
      <diagonal/>
    </border>
    <border>
      <left style="thin">
        <color theme="0"/>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style="medium">
        <color rgb="FF3D68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top style="thin">
        <color theme="0"/>
      </top>
      <bottom/>
      <diagonal/>
    </border>
    <border>
      <left/>
      <right style="thin">
        <color rgb="FF3D6864"/>
      </right>
      <top/>
      <bottom/>
      <diagonal/>
    </border>
    <border>
      <left style="thin">
        <color rgb="FF3D6864"/>
      </left>
      <right style="thin">
        <color indexed="64"/>
      </right>
      <top/>
      <bottom/>
      <diagonal/>
    </border>
    <border>
      <left style="thin">
        <color rgb="FF3D6864"/>
      </left>
      <right/>
      <top/>
      <bottom/>
      <diagonal/>
    </border>
    <border>
      <left style="thin">
        <color theme="0"/>
      </left>
      <right/>
      <top style="thin">
        <color theme="0" tint="-0.14996795556505021"/>
      </top>
      <bottom style="thin">
        <color indexed="64"/>
      </bottom>
      <diagonal/>
    </border>
    <border>
      <left style="medium">
        <color rgb="FF3D6864"/>
      </left>
      <right/>
      <top style="thin">
        <color indexed="64"/>
      </top>
      <bottom style="medium">
        <color rgb="FF3D68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medium">
        <color rgb="FF3D6864"/>
      </left>
      <right style="medium">
        <color rgb="FF3D6864"/>
      </right>
      <top/>
      <bottom/>
      <diagonal/>
    </border>
    <border>
      <left style="medium">
        <color rgb="FF3D6864"/>
      </left>
      <right style="medium">
        <color rgb="FF3D6864"/>
      </right>
      <top style="thin">
        <color indexed="64"/>
      </top>
      <bottom style="medium">
        <color rgb="FF3D6864"/>
      </bottom>
      <diagonal/>
    </border>
    <border>
      <left style="medium">
        <color rgb="FF3D6864"/>
      </left>
      <right style="medium">
        <color rgb="FF3D6864"/>
      </right>
      <top style="thin">
        <color indexed="64"/>
      </top>
      <bottom/>
      <diagonal/>
    </border>
    <border>
      <left style="thin">
        <color theme="0"/>
      </left>
      <right style="thin">
        <color theme="0"/>
      </right>
      <top style="thin">
        <color theme="0"/>
      </top>
      <bottom/>
      <diagonal/>
    </border>
    <border>
      <left style="thin">
        <color theme="0"/>
      </left>
      <right style="medium">
        <color rgb="FF3D6864"/>
      </right>
      <top style="thin">
        <color theme="0"/>
      </top>
      <bottom/>
      <diagonal/>
    </border>
    <border>
      <left style="thin">
        <color indexed="64"/>
      </left>
      <right style="medium">
        <color rgb="FF3D6864"/>
      </right>
      <top style="thin">
        <color theme="0"/>
      </top>
      <bottom style="thin">
        <color indexed="64"/>
      </bottom>
      <diagonal/>
    </border>
    <border>
      <left style="medium">
        <color rgb="FF3D6864"/>
      </left>
      <right style="thin">
        <color theme="0"/>
      </right>
      <top style="thin">
        <color indexed="64"/>
      </top>
      <bottom style="thin">
        <color indexed="64"/>
      </bottom>
      <diagonal/>
    </border>
    <border>
      <left style="medium">
        <color rgb="FF3D6864"/>
      </left>
      <right style="thin">
        <color theme="0"/>
      </right>
      <top style="thin">
        <color theme="0"/>
      </top>
      <bottom style="thin">
        <color indexed="64"/>
      </bottom>
      <diagonal/>
    </border>
    <border>
      <left style="medium">
        <color rgb="FF3D6864"/>
      </left>
      <right style="thin">
        <color rgb="FF3D6864"/>
      </right>
      <top style="thin">
        <color theme="0"/>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style="thin">
        <color theme="0" tint="-0.249977111117893"/>
      </right>
      <top/>
      <bottom style="thin">
        <color theme="0" tint="-0.249977111117893"/>
      </bottom>
      <diagonal/>
    </border>
    <border>
      <left/>
      <right/>
      <top style="thin">
        <color theme="0" tint="-0.249977111117893"/>
      </top>
      <bottom/>
      <diagonal/>
    </border>
    <border>
      <left style="thin">
        <color theme="0" tint="-0.249977111117893"/>
      </left>
      <right/>
      <top/>
      <bottom/>
      <diagonal/>
    </border>
    <border>
      <left style="thin">
        <color indexed="64"/>
      </left>
      <right/>
      <top style="medium">
        <color indexed="64"/>
      </top>
      <bottom/>
      <diagonal/>
    </border>
    <border>
      <left/>
      <right style="thin">
        <color theme="0"/>
      </right>
      <top style="thin">
        <color indexed="64"/>
      </top>
      <bottom style="thin">
        <color theme="0"/>
      </bottom>
      <diagonal/>
    </border>
    <border>
      <left/>
      <right/>
      <top/>
      <bottom style="thin">
        <color theme="0" tint="-0.249977111117893"/>
      </bottom>
      <diagonal/>
    </border>
    <border>
      <left style="medium">
        <color indexed="64"/>
      </left>
      <right style="medium">
        <color indexed="64"/>
      </right>
      <top style="thin">
        <color indexed="64"/>
      </top>
      <bottom/>
      <diagonal/>
    </border>
    <border>
      <left style="thin">
        <color indexed="64"/>
      </left>
      <right style="medium">
        <color rgb="FF3D6864"/>
      </right>
      <top/>
      <bottom style="thin">
        <color indexed="64"/>
      </bottom>
      <diagonal/>
    </border>
    <border>
      <left/>
      <right style="thin">
        <color theme="1"/>
      </right>
      <top style="thin">
        <color indexed="64"/>
      </top>
      <bottom style="thin">
        <color theme="0"/>
      </bottom>
      <diagonal/>
    </border>
    <border>
      <left/>
      <right style="thin">
        <color theme="1"/>
      </right>
      <top style="thin">
        <color theme="0"/>
      </top>
      <bottom style="thin">
        <color theme="0"/>
      </bottom>
      <diagonal/>
    </border>
    <border>
      <left/>
      <right/>
      <top style="thin">
        <color theme="0"/>
      </top>
      <bottom/>
      <diagonal/>
    </border>
    <border>
      <left/>
      <right style="thin">
        <color indexed="64"/>
      </right>
      <top style="thin">
        <color theme="0"/>
      </top>
      <bottom/>
      <diagonal/>
    </border>
    <border>
      <left/>
      <right style="thin">
        <color theme="0"/>
      </right>
      <top style="thin">
        <color theme="0"/>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s>
  <cellStyleXfs count="5">
    <xf numFmtId="0" fontId="0" fillId="0" borderId="0"/>
    <xf numFmtId="0" fontId="2" fillId="0" borderId="0"/>
    <xf numFmtId="9" fontId="6" fillId="0" borderId="0" applyFont="0" applyFill="0" applyBorder="0" applyAlignment="0" applyProtection="0"/>
    <xf numFmtId="0" fontId="53" fillId="17" borderId="0" applyNumberFormat="0" applyBorder="0" applyAlignment="0" applyProtection="0"/>
    <xf numFmtId="9" fontId="1" fillId="0" borderId="0" applyFont="0" applyFill="0" applyBorder="0" applyAlignment="0" applyProtection="0"/>
  </cellStyleXfs>
  <cellXfs count="1385">
    <xf numFmtId="0" fontId="0" fillId="0" borderId="0" xfId="0"/>
    <xf numFmtId="0" fontId="0" fillId="2" borderId="0" xfId="0" applyFill="1" applyProtection="1">
      <protection hidden="1"/>
    </xf>
    <xf numFmtId="0" fontId="0" fillId="2" borderId="0" xfId="0" applyFont="1" applyFill="1" applyProtection="1">
      <protection hidden="1"/>
    </xf>
    <xf numFmtId="0" fontId="0" fillId="2" borderId="0" xfId="0" applyFill="1" applyBorder="1" applyProtection="1">
      <protection hidden="1"/>
    </xf>
    <xf numFmtId="0" fontId="9" fillId="2" borderId="0" xfId="0" applyFont="1" applyFill="1" applyProtection="1">
      <protection hidden="1"/>
    </xf>
    <xf numFmtId="0" fontId="11" fillId="2" borderId="0" xfId="0" applyFont="1" applyFill="1" applyProtection="1">
      <protection hidden="1"/>
    </xf>
    <xf numFmtId="0" fontId="12" fillId="2" borderId="0" xfId="0" applyFont="1" applyFill="1" applyAlignment="1" applyProtection="1">
      <alignment horizontal="center" wrapText="1"/>
      <protection hidden="1"/>
    </xf>
    <xf numFmtId="0" fontId="0" fillId="2" borderId="1" xfId="0" applyFill="1" applyBorder="1" applyProtection="1">
      <protection hidden="1"/>
    </xf>
    <xf numFmtId="0" fontId="0" fillId="2" borderId="0" xfId="0" applyFill="1" applyAlignment="1" applyProtection="1">
      <alignment wrapText="1"/>
      <protection hidden="1"/>
    </xf>
    <xf numFmtId="0" fontId="9" fillId="2" borderId="0" xfId="0" applyFont="1" applyFill="1" applyAlignment="1" applyProtection="1">
      <alignment vertical="top" wrapText="1"/>
      <protection hidden="1"/>
    </xf>
    <xf numFmtId="0" fontId="0" fillId="2" borderId="0" xfId="0" applyFont="1" applyFill="1" applyAlignment="1" applyProtection="1">
      <alignment horizontal="left" vertical="top" wrapText="1"/>
      <protection hidden="1"/>
    </xf>
    <xf numFmtId="0" fontId="10" fillId="2" borderId="0" xfId="0" applyFont="1" applyFill="1" applyAlignment="1" applyProtection="1">
      <alignment horizontal="left" vertical="top" wrapText="1"/>
      <protection hidden="1"/>
    </xf>
    <xf numFmtId="0" fontId="18" fillId="2" borderId="0" xfId="0" applyFont="1" applyFill="1" applyProtection="1">
      <protection hidden="1"/>
    </xf>
    <xf numFmtId="0" fontId="18" fillId="2" borderId="0" xfId="0" applyFont="1" applyFill="1" applyAlignment="1" applyProtection="1">
      <alignment vertical="top" wrapText="1"/>
      <protection hidden="1"/>
    </xf>
    <xf numFmtId="0" fontId="18" fillId="2" borderId="0" xfId="0" applyFont="1" applyFill="1" applyAlignment="1" applyProtection="1">
      <alignment horizontal="left" vertical="top" wrapText="1"/>
      <protection hidden="1"/>
    </xf>
    <xf numFmtId="0" fontId="17" fillId="2" borderId="0" xfId="0" applyFont="1" applyFill="1" applyProtection="1">
      <protection hidden="1"/>
    </xf>
    <xf numFmtId="0" fontId="0" fillId="0" borderId="0" xfId="0" applyFill="1" applyBorder="1" applyProtection="1">
      <protection hidden="1"/>
    </xf>
    <xf numFmtId="0" fontId="0" fillId="0" borderId="0" xfId="0" applyFill="1" applyProtection="1">
      <protection hidden="1"/>
    </xf>
    <xf numFmtId="0" fontId="0" fillId="4" borderId="0" xfId="0" applyFill="1" applyProtection="1">
      <protection hidden="1"/>
    </xf>
    <xf numFmtId="0" fontId="24" fillId="2" borderId="0" xfId="0" applyFont="1" applyFill="1" applyProtection="1">
      <protection hidden="1"/>
    </xf>
    <xf numFmtId="0" fontId="1" fillId="4" borderId="0" xfId="0" applyFont="1" applyFill="1" applyProtection="1">
      <protection hidden="1"/>
    </xf>
    <xf numFmtId="0" fontId="11" fillId="2" borderId="0" xfId="0" applyFont="1" applyFill="1" applyAlignment="1" applyProtection="1">
      <alignment vertical="top" wrapText="1"/>
      <protection hidden="1"/>
    </xf>
    <xf numFmtId="0" fontId="4" fillId="2" borderId="0" xfId="0" applyFont="1" applyFill="1" applyAlignment="1" applyProtection="1">
      <alignment vertical="top" wrapText="1"/>
      <protection hidden="1"/>
    </xf>
    <xf numFmtId="0" fontId="0" fillId="4" borderId="0" xfId="0" applyFill="1"/>
    <xf numFmtId="0" fontId="9" fillId="8" borderId="2" xfId="0" applyFont="1" applyFill="1" applyBorder="1" applyProtection="1">
      <protection hidden="1"/>
    </xf>
    <xf numFmtId="0" fontId="17" fillId="2" borderId="0" xfId="0" applyFont="1" applyFill="1" applyAlignment="1" applyProtection="1">
      <alignment horizontal="left" vertical="top" wrapText="1"/>
      <protection hidden="1"/>
    </xf>
    <xf numFmtId="0" fontId="23" fillId="4" borderId="0" xfId="0" applyFont="1" applyFill="1" applyAlignment="1" applyProtection="1">
      <alignment horizontal="right"/>
      <protection hidden="1"/>
    </xf>
    <xf numFmtId="0" fontId="0" fillId="2" borderId="0" xfId="0" applyFill="1" applyBorder="1" applyAlignment="1" applyProtection="1">
      <alignment horizontal="left" vertical="top" wrapText="1"/>
      <protection hidden="1"/>
    </xf>
    <xf numFmtId="0" fontId="17" fillId="2" borderId="0" xfId="0" applyFont="1" applyFill="1" applyAlignment="1" applyProtection="1">
      <alignment vertical="top" wrapText="1"/>
      <protection hidden="1"/>
    </xf>
    <xf numFmtId="0" fontId="17" fillId="0" borderId="0" xfId="0" applyFont="1" applyFill="1" applyAlignment="1" applyProtection="1">
      <alignment vertical="top" wrapText="1"/>
      <protection hidden="1"/>
    </xf>
    <xf numFmtId="0" fontId="0" fillId="0" borderId="0" xfId="0"/>
    <xf numFmtId="0" fontId="23" fillId="4" borderId="0" xfId="0" applyFont="1" applyFill="1" applyAlignment="1" applyProtection="1">
      <alignment horizontal="left"/>
      <protection hidden="1"/>
    </xf>
    <xf numFmtId="0" fontId="0" fillId="4" borderId="0" xfId="0" applyFill="1" applyAlignment="1" applyProtection="1">
      <alignment horizontal="left"/>
      <protection hidden="1"/>
    </xf>
    <xf numFmtId="0" fontId="17" fillId="4" borderId="0" xfId="0" applyFont="1" applyFill="1" applyBorder="1" applyAlignment="1" applyProtection="1">
      <alignment vertical="top" wrapText="1"/>
      <protection hidden="1"/>
    </xf>
    <xf numFmtId="0" fontId="16" fillId="4" borderId="0" xfId="0" applyFont="1" applyFill="1" applyBorder="1" applyAlignment="1" applyProtection="1">
      <alignment horizontal="right" vertical="center"/>
      <protection hidden="1"/>
    </xf>
    <xf numFmtId="0" fontId="11" fillId="4" borderId="0" xfId="0" applyFont="1" applyFill="1" applyAlignment="1" applyProtection="1">
      <alignment vertical="top" wrapText="1"/>
      <protection hidden="1"/>
    </xf>
    <xf numFmtId="0" fontId="0" fillId="4" borderId="0" xfId="0" applyFont="1" applyFill="1" applyAlignment="1" applyProtection="1">
      <alignment horizontal="left" vertical="top" wrapText="1"/>
      <protection hidden="1"/>
    </xf>
    <xf numFmtId="0" fontId="0" fillId="4" borderId="0" xfId="0" applyFont="1" applyFill="1" applyProtection="1">
      <protection hidden="1"/>
    </xf>
    <xf numFmtId="0" fontId="9" fillId="4" borderId="0" xfId="0" applyFont="1" applyFill="1" applyBorder="1" applyAlignment="1" applyProtection="1">
      <alignment horizontal="left" vertical="center" wrapText="1"/>
      <protection hidden="1"/>
    </xf>
    <xf numFmtId="0" fontId="33" fillId="2" borderId="0" xfId="0" applyFont="1" applyFill="1" applyProtection="1">
      <protection hidden="1"/>
    </xf>
    <xf numFmtId="0" fontId="0" fillId="2" borderId="0" xfId="0" applyFont="1" applyFill="1" applyAlignment="1" applyProtection="1">
      <alignment vertical="top"/>
      <protection hidden="1"/>
    </xf>
    <xf numFmtId="0" fontId="33" fillId="2" borderId="0" xfId="0" applyFont="1" applyFill="1" applyAlignment="1" applyProtection="1">
      <alignment vertical="top" wrapText="1"/>
      <protection hidden="1"/>
    </xf>
    <xf numFmtId="0" fontId="23" fillId="6" borderId="34" xfId="0" applyFont="1" applyFill="1" applyBorder="1" applyProtection="1">
      <protection hidden="1"/>
    </xf>
    <xf numFmtId="0" fontId="26" fillId="4" borderId="7" xfId="0" applyFont="1" applyFill="1" applyBorder="1" applyAlignment="1" applyProtection="1">
      <alignment horizontal="center" vertical="center"/>
      <protection locked="0"/>
    </xf>
    <xf numFmtId="0" fontId="0" fillId="5" borderId="0" xfId="0" applyFill="1" applyBorder="1" applyAlignment="1" applyProtection="1">
      <alignment horizontal="center" vertical="center"/>
      <protection hidden="1"/>
    </xf>
    <xf numFmtId="0" fontId="0" fillId="2" borderId="0" xfId="0" applyFill="1" applyBorder="1" applyAlignment="1" applyProtection="1">
      <alignment horizontal="left"/>
      <protection hidden="1"/>
    </xf>
    <xf numFmtId="0" fontId="0" fillId="8" borderId="0" xfId="0" applyFont="1" applyFill="1" applyProtection="1">
      <protection hidden="1"/>
    </xf>
    <xf numFmtId="0" fontId="7" fillId="3" borderId="27" xfId="0" applyFont="1" applyFill="1" applyBorder="1" applyAlignment="1" applyProtection="1">
      <alignment horizontal="right" vertical="center"/>
      <protection hidden="1"/>
    </xf>
    <xf numFmtId="0" fontId="7" fillId="3" borderId="27" xfId="0" applyFont="1" applyFill="1" applyBorder="1" applyAlignment="1" applyProtection="1">
      <alignment horizontal="right" vertical="center" wrapText="1"/>
      <protection hidden="1"/>
    </xf>
    <xf numFmtId="0" fontId="0" fillId="0" borderId="2" xfId="0" applyBorder="1"/>
    <xf numFmtId="0" fontId="0" fillId="12" borderId="2" xfId="0" applyFill="1" applyBorder="1"/>
    <xf numFmtId="0" fontId="0" fillId="0" borderId="5" xfId="0" applyBorder="1"/>
    <xf numFmtId="0" fontId="0" fillId="12" borderId="5" xfId="0" applyFill="1" applyBorder="1"/>
    <xf numFmtId="0" fontId="23" fillId="10" borderId="64" xfId="0" applyFont="1" applyFill="1" applyBorder="1"/>
    <xf numFmtId="0" fontId="0" fillId="0" borderId="3" xfId="0" applyBorder="1"/>
    <xf numFmtId="0" fontId="0" fillId="12" borderId="3" xfId="0" applyFill="1" applyBorder="1"/>
    <xf numFmtId="0" fontId="32" fillId="13" borderId="64" xfId="0" applyFont="1" applyFill="1" applyBorder="1"/>
    <xf numFmtId="0" fontId="23" fillId="10" borderId="52" xfId="0" applyFont="1" applyFill="1" applyBorder="1" applyAlignment="1" applyProtection="1">
      <alignment wrapText="1"/>
      <protection hidden="1"/>
    </xf>
    <xf numFmtId="0" fontId="0" fillId="8" borderId="63" xfId="0" applyFont="1" applyFill="1" applyBorder="1"/>
    <xf numFmtId="0" fontId="23" fillId="10" borderId="10" xfId="0" applyFont="1" applyFill="1" applyBorder="1" applyAlignment="1" applyProtection="1">
      <alignment wrapText="1"/>
      <protection hidden="1"/>
    </xf>
    <xf numFmtId="0" fontId="23" fillId="6" borderId="0" xfId="0" applyFont="1" applyFill="1" applyBorder="1" applyProtection="1">
      <protection hidden="1"/>
    </xf>
    <xf numFmtId="0" fontId="0" fillId="8" borderId="64" xfId="0" applyFill="1" applyBorder="1"/>
    <xf numFmtId="0" fontId="1" fillId="5" borderId="52" xfId="0" applyFont="1" applyFill="1" applyBorder="1" applyAlignment="1" applyProtection="1">
      <alignment vertical="center"/>
      <protection hidden="1"/>
    </xf>
    <xf numFmtId="0" fontId="1" fillId="5" borderId="65" xfId="0" applyFont="1" applyFill="1" applyBorder="1" applyAlignment="1" applyProtection="1">
      <alignment horizontal="left" vertical="center"/>
      <protection hidden="1"/>
    </xf>
    <xf numFmtId="0" fontId="23" fillId="2" borderId="0" xfId="0" applyFont="1" applyFill="1" applyProtection="1">
      <protection hidden="1"/>
    </xf>
    <xf numFmtId="0" fontId="23" fillId="10" borderId="84" xfId="0" applyFont="1" applyFill="1" applyBorder="1"/>
    <xf numFmtId="0" fontId="0" fillId="8" borderId="65" xfId="0" applyFill="1" applyBorder="1"/>
    <xf numFmtId="0" fontId="0" fillId="8" borderId="2" xfId="0" applyFill="1" applyBorder="1"/>
    <xf numFmtId="0" fontId="0" fillId="8" borderId="0" xfId="0" applyFill="1"/>
    <xf numFmtId="0" fontId="0" fillId="0" borderId="15" xfId="0" applyBorder="1"/>
    <xf numFmtId="0" fontId="0" fillId="2" borderId="2" xfId="0" applyFill="1" applyBorder="1" applyProtection="1">
      <protection hidden="1"/>
    </xf>
    <xf numFmtId="0" fontId="0" fillId="3" borderId="0" xfId="0" applyFill="1" applyAlignment="1" applyProtection="1">
      <alignment horizontal="center"/>
      <protection hidden="1"/>
    </xf>
    <xf numFmtId="0" fontId="0" fillId="3" borderId="40" xfId="0" applyFill="1" applyBorder="1" applyAlignment="1" applyProtection="1">
      <alignment horizontal="center"/>
      <protection hidden="1"/>
    </xf>
    <xf numFmtId="0" fontId="0" fillId="2" borderId="55" xfId="0" applyFill="1" applyBorder="1" applyProtection="1">
      <protection hidden="1"/>
    </xf>
    <xf numFmtId="0" fontId="0" fillId="2" borderId="57" xfId="0" applyFill="1" applyBorder="1" applyProtection="1">
      <protection hidden="1"/>
    </xf>
    <xf numFmtId="0" fontId="0" fillId="2" borderId="58" xfId="0" applyFill="1" applyBorder="1" applyProtection="1">
      <protection hidden="1"/>
    </xf>
    <xf numFmtId="0" fontId="0" fillId="2" borderId="60" xfId="0" applyFill="1" applyBorder="1" applyProtection="1">
      <protection hidden="1"/>
    </xf>
    <xf numFmtId="0" fontId="23" fillId="6" borderId="98" xfId="0" applyFont="1" applyFill="1" applyBorder="1" applyProtection="1">
      <protection hidden="1"/>
    </xf>
    <xf numFmtId="0" fontId="26" fillId="5" borderId="34" xfId="0" applyFont="1" applyFill="1" applyBorder="1" applyAlignment="1" applyProtection="1">
      <alignment horizontal="center" vertical="center"/>
      <protection hidden="1"/>
    </xf>
    <xf numFmtId="0" fontId="3" fillId="4" borderId="2" xfId="0" applyFont="1" applyFill="1" applyBorder="1" applyProtection="1">
      <protection hidden="1"/>
    </xf>
    <xf numFmtId="0" fontId="26" fillId="4" borderId="2" xfId="0" applyFont="1" applyFill="1" applyBorder="1" applyAlignment="1" applyProtection="1">
      <alignment horizontal="left" vertical="center" wrapText="1"/>
      <protection locked="0"/>
    </xf>
    <xf numFmtId="0" fontId="26" fillId="4" borderId="4" xfId="0" applyFont="1" applyFill="1" applyBorder="1" applyAlignment="1" applyProtection="1">
      <alignment horizontal="left" vertical="center" wrapText="1"/>
      <protection locked="0"/>
    </xf>
    <xf numFmtId="0" fontId="0" fillId="4" borderId="0" xfId="0" applyFill="1" applyAlignment="1">
      <alignment wrapText="1"/>
    </xf>
    <xf numFmtId="0" fontId="26" fillId="4" borderId="43" xfId="0" applyFont="1" applyFill="1" applyBorder="1" applyAlignment="1" applyProtection="1">
      <alignment horizontal="center" vertical="center" wrapText="1"/>
      <protection locked="0"/>
    </xf>
    <xf numFmtId="0" fontId="1" fillId="5" borderId="54" xfId="0" applyFont="1" applyFill="1" applyBorder="1" applyAlignment="1" applyProtection="1">
      <alignment vertical="center"/>
      <protection hidden="1"/>
    </xf>
    <xf numFmtId="0" fontId="1" fillId="5" borderId="55" xfId="0" applyFont="1" applyFill="1" applyBorder="1" applyAlignment="1" applyProtection="1">
      <alignment vertical="center"/>
      <protection hidden="1"/>
    </xf>
    <xf numFmtId="0" fontId="1" fillId="5" borderId="59" xfId="0" applyFont="1" applyFill="1" applyBorder="1" applyAlignment="1" applyProtection="1">
      <alignment horizontal="left" vertical="center"/>
      <protection hidden="1"/>
    </xf>
    <xf numFmtId="0" fontId="1" fillId="5" borderId="60" xfId="0" applyFont="1" applyFill="1" applyBorder="1" applyAlignment="1" applyProtection="1">
      <alignment vertical="center"/>
      <protection hidden="1"/>
    </xf>
    <xf numFmtId="10" fontId="9" fillId="5" borderId="99" xfId="2" applyNumberFormat="1" applyFont="1" applyFill="1" applyBorder="1" applyAlignment="1" applyProtection="1">
      <alignment horizontal="left" vertical="center"/>
      <protection hidden="1"/>
    </xf>
    <xf numFmtId="0" fontId="32" fillId="0" borderId="0" xfId="0" applyFont="1" applyFill="1" applyProtection="1">
      <protection hidden="1"/>
    </xf>
    <xf numFmtId="0" fontId="40" fillId="3" borderId="101" xfId="0" applyFont="1" applyFill="1" applyBorder="1" applyAlignment="1" applyProtection="1">
      <alignment horizontal="left" vertical="center"/>
      <protection hidden="1"/>
    </xf>
    <xf numFmtId="0" fontId="0" fillId="8" borderId="2" xfId="0" applyFill="1" applyBorder="1" applyProtection="1">
      <protection hidden="1"/>
    </xf>
    <xf numFmtId="0" fontId="13" fillId="0" borderId="0" xfId="0" applyFont="1" applyFill="1" applyBorder="1" applyAlignment="1" applyProtection="1">
      <alignment vertical="center"/>
      <protection hidden="1"/>
    </xf>
    <xf numFmtId="0" fontId="0" fillId="8" borderId="0" xfId="0" applyFill="1" applyProtection="1">
      <protection hidden="1"/>
    </xf>
    <xf numFmtId="0" fontId="0" fillId="8" borderId="0" xfId="0" applyFill="1" applyBorder="1" applyProtection="1">
      <protection hidden="1"/>
    </xf>
    <xf numFmtId="0" fontId="0" fillId="2" borderId="0" xfId="0" applyFill="1" applyBorder="1" applyAlignment="1" applyProtection="1">
      <protection hidden="1"/>
    </xf>
    <xf numFmtId="0" fontId="0" fillId="0" borderId="0" xfId="0" applyProtection="1"/>
    <xf numFmtId="0" fontId="0" fillId="0" borderId="0" xfId="0" applyFill="1" applyProtection="1"/>
    <xf numFmtId="0" fontId="0" fillId="2" borderId="0" xfId="0" applyFont="1" applyFill="1" applyProtection="1"/>
    <xf numFmtId="0" fontId="0" fillId="0" borderId="0" xfId="0" applyBorder="1" applyProtection="1"/>
    <xf numFmtId="0" fontId="30" fillId="2" borderId="0" xfId="0" applyFont="1" applyFill="1" applyBorder="1" applyAlignment="1" applyProtection="1">
      <alignment horizontal="left" vertical="center"/>
    </xf>
    <xf numFmtId="0" fontId="39" fillId="2" borderId="0" xfId="0" applyFont="1" applyFill="1" applyBorder="1" applyAlignment="1" applyProtection="1">
      <alignment horizontal="left" vertical="center"/>
    </xf>
    <xf numFmtId="0" fontId="11" fillId="2" borderId="1" xfId="0" applyFont="1" applyFill="1" applyBorder="1" applyProtection="1"/>
    <xf numFmtId="0" fontId="7" fillId="3" borderId="34" xfId="0" applyFont="1" applyFill="1" applyBorder="1" applyAlignment="1" applyProtection="1">
      <alignment horizontal="left" vertical="center"/>
    </xf>
    <xf numFmtId="0" fontId="7" fillId="3" borderId="42" xfId="0" applyFont="1" applyFill="1" applyBorder="1" applyAlignment="1" applyProtection="1">
      <alignment horizontal="left" vertical="center"/>
    </xf>
    <xf numFmtId="0" fontId="7" fillId="3" borderId="31" xfId="0" applyFont="1" applyFill="1" applyBorder="1" applyAlignment="1" applyProtection="1">
      <alignment horizontal="left" vertical="center"/>
    </xf>
    <xf numFmtId="0" fontId="1" fillId="5" borderId="31" xfId="0" applyFont="1" applyFill="1" applyBorder="1" applyAlignment="1" applyProtection="1">
      <alignment horizontal="left" vertical="center"/>
    </xf>
    <xf numFmtId="0" fontId="0" fillId="4" borderId="0" xfId="0" applyFill="1" applyProtection="1"/>
    <xf numFmtId="0" fontId="1" fillId="5" borderId="27" xfId="0" applyFont="1" applyFill="1" applyBorder="1" applyAlignment="1" applyProtection="1">
      <alignment horizontal="left" vertical="center"/>
    </xf>
    <xf numFmtId="0" fontId="7" fillId="3" borderId="44" xfId="0" applyFont="1" applyFill="1" applyBorder="1" applyAlignment="1" applyProtection="1">
      <alignment horizontal="left" vertical="center"/>
    </xf>
    <xf numFmtId="0" fontId="7" fillId="3" borderId="26" xfId="0" applyFont="1" applyFill="1" applyBorder="1" applyAlignment="1" applyProtection="1">
      <alignment horizontal="left" vertical="center"/>
    </xf>
    <xf numFmtId="0" fontId="7" fillId="3" borderId="28" xfId="0" applyFont="1" applyFill="1" applyBorder="1" applyAlignment="1" applyProtection="1">
      <alignment horizontal="left" vertical="center"/>
    </xf>
    <xf numFmtId="0" fontId="1" fillId="5" borderId="26" xfId="0" applyFont="1" applyFill="1" applyBorder="1" applyAlignment="1" applyProtection="1">
      <alignment vertical="center"/>
    </xf>
    <xf numFmtId="0" fontId="38" fillId="2" borderId="40" xfId="0" applyFont="1" applyFill="1" applyBorder="1" applyProtection="1"/>
    <xf numFmtId="0" fontId="0" fillId="2" borderId="0" xfId="0" applyFont="1" applyFill="1" applyBorder="1" applyProtection="1"/>
    <xf numFmtId="0" fontId="0" fillId="4" borderId="0" xfId="0" applyFont="1" applyFill="1" applyBorder="1" applyProtection="1"/>
    <xf numFmtId="0" fontId="41" fillId="2" borderId="96" xfId="0" applyFont="1" applyFill="1" applyBorder="1" applyAlignment="1" applyProtection="1">
      <alignment horizontal="left" vertical="top" wrapText="1"/>
    </xf>
    <xf numFmtId="0" fontId="29" fillId="2" borderId="0" xfId="0" applyFont="1" applyFill="1" applyBorder="1" applyAlignment="1" applyProtection="1">
      <alignment horizontal="left" wrapText="1"/>
    </xf>
    <xf numFmtId="0" fontId="29" fillId="2" borderId="97" xfId="0" applyFont="1" applyFill="1" applyBorder="1" applyAlignment="1" applyProtection="1">
      <alignment horizontal="left" wrapText="1"/>
    </xf>
    <xf numFmtId="0" fontId="29" fillId="2" borderId="97" xfId="0" applyFont="1" applyFill="1" applyBorder="1" applyAlignment="1" applyProtection="1">
      <alignment vertical="top" wrapText="1"/>
    </xf>
    <xf numFmtId="0" fontId="29" fillId="2" borderId="35" xfId="0" applyFont="1" applyFill="1" applyBorder="1" applyAlignment="1" applyProtection="1">
      <alignment horizontal="center" vertical="top" wrapText="1"/>
    </xf>
    <xf numFmtId="0" fontId="0" fillId="4" borderId="0" xfId="0" applyFill="1" applyAlignment="1" applyProtection="1">
      <alignment vertical="top" wrapText="1"/>
    </xf>
    <xf numFmtId="0" fontId="26" fillId="5" borderId="37" xfId="0" applyFont="1" applyFill="1" applyBorder="1" applyAlignment="1" applyProtection="1">
      <alignment horizontal="center" vertical="center"/>
    </xf>
    <xf numFmtId="164" fontId="26" fillId="5" borderId="24" xfId="0" applyNumberFormat="1" applyFont="1" applyFill="1" applyBorder="1" applyAlignment="1" applyProtection="1">
      <alignment horizontal="center" vertical="center"/>
    </xf>
    <xf numFmtId="0" fontId="0" fillId="5" borderId="24" xfId="0" applyFill="1" applyBorder="1" applyAlignment="1" applyProtection="1">
      <alignment vertical="center"/>
    </xf>
    <xf numFmtId="0" fontId="37" fillId="5" borderId="89" xfId="0" applyFont="1" applyFill="1" applyBorder="1" applyAlignment="1" applyProtection="1">
      <alignment horizontal="center" vertical="center"/>
    </xf>
    <xf numFmtId="164" fontId="37" fillId="5" borderId="88" xfId="0" applyNumberFormat="1" applyFont="1" applyFill="1" applyBorder="1" applyAlignment="1" applyProtection="1">
      <alignment horizontal="center" vertical="center"/>
    </xf>
    <xf numFmtId="0" fontId="0" fillId="5" borderId="26" xfId="0" applyFill="1" applyBorder="1" applyAlignment="1" applyProtection="1">
      <alignment horizontal="left" vertical="center"/>
    </xf>
    <xf numFmtId="0" fontId="26" fillId="5" borderId="26" xfId="0" applyFont="1" applyFill="1" applyBorder="1" applyAlignment="1" applyProtection="1">
      <alignment vertical="center"/>
    </xf>
    <xf numFmtId="0" fontId="0" fillId="5" borderId="26" xfId="0" applyFill="1" applyBorder="1" applyAlignment="1" applyProtection="1">
      <alignment vertical="center"/>
    </xf>
    <xf numFmtId="0" fontId="0" fillId="0" borderId="0" xfId="0" applyFont="1" applyProtection="1"/>
    <xf numFmtId="0" fontId="37" fillId="5" borderId="90" xfId="0" applyFont="1" applyFill="1" applyBorder="1" applyAlignment="1" applyProtection="1">
      <alignment horizontal="center" vertical="center"/>
      <protection locked="0"/>
    </xf>
    <xf numFmtId="0" fontId="0" fillId="4" borderId="0" xfId="0" applyFill="1" applyProtection="1">
      <protection locked="0"/>
    </xf>
    <xf numFmtId="0" fontId="0" fillId="4" borderId="0" xfId="0" applyFill="1" applyAlignment="1" applyProtection="1">
      <alignment wrapText="1"/>
      <protection locked="0"/>
    </xf>
    <xf numFmtId="0" fontId="26" fillId="5" borderId="93" xfId="0" applyFont="1" applyFill="1" applyBorder="1" applyAlignment="1" applyProtection="1">
      <alignment horizontal="left" vertical="center" wrapText="1"/>
      <protection locked="0"/>
    </xf>
    <xf numFmtId="0" fontId="26" fillId="5" borderId="94" xfId="0" applyFont="1" applyFill="1" applyBorder="1" applyAlignment="1" applyProtection="1">
      <alignment horizontal="center" vertical="center" wrapText="1"/>
      <protection locked="0"/>
    </xf>
    <xf numFmtId="0" fontId="26" fillId="5" borderId="93" xfId="0" applyFont="1" applyFill="1" applyBorder="1" applyAlignment="1" applyProtection="1">
      <alignment horizontal="center" vertical="center" wrapText="1"/>
      <protection locked="0"/>
    </xf>
    <xf numFmtId="0" fontId="32" fillId="0" borderId="0" xfId="0" applyFont="1" applyProtection="1"/>
    <xf numFmtId="0" fontId="23" fillId="10" borderId="52" xfId="0" applyFont="1" applyFill="1" applyBorder="1" applyProtection="1"/>
    <xf numFmtId="1" fontId="0" fillId="0" borderId="0" xfId="0" applyNumberFormat="1" applyProtection="1"/>
    <xf numFmtId="0" fontId="32" fillId="9" borderId="52" xfId="0" applyFont="1" applyFill="1" applyBorder="1" applyAlignment="1" applyProtection="1">
      <alignment horizontal="center"/>
    </xf>
    <xf numFmtId="0" fontId="0" fillId="0" borderId="0" xfId="0" applyAlignment="1" applyProtection="1">
      <alignment horizontal="right"/>
    </xf>
    <xf numFmtId="0" fontId="0" fillId="8" borderId="63" xfId="0" applyFont="1" applyFill="1" applyBorder="1" applyProtection="1"/>
    <xf numFmtId="0" fontId="0" fillId="8" borderId="64" xfId="0" applyFont="1" applyFill="1" applyBorder="1" applyProtection="1"/>
    <xf numFmtId="0" fontId="0" fillId="8" borderId="52" xfId="0" applyFill="1" applyBorder="1" applyAlignment="1" applyProtection="1">
      <alignment horizontal="center" vertical="center"/>
    </xf>
    <xf numFmtId="0" fontId="23" fillId="10" borderId="63" xfId="0" applyFont="1" applyFill="1" applyBorder="1" applyProtection="1"/>
    <xf numFmtId="0" fontId="23" fillId="10" borderId="64" xfId="0" applyFont="1" applyFill="1" applyBorder="1" applyProtection="1"/>
    <xf numFmtId="0" fontId="23" fillId="10" borderId="72" xfId="0" applyFont="1" applyFill="1" applyBorder="1" applyProtection="1"/>
    <xf numFmtId="0" fontId="0" fillId="10" borderId="53" xfId="0" applyFill="1" applyBorder="1" applyProtection="1"/>
    <xf numFmtId="0" fontId="0" fillId="10" borderId="54" xfId="0" applyFill="1" applyBorder="1" applyProtection="1"/>
    <xf numFmtId="0" fontId="0" fillId="8" borderId="68" xfId="0" applyFill="1" applyBorder="1" applyProtection="1"/>
    <xf numFmtId="0" fontId="23" fillId="10" borderId="80" xfId="0" applyFont="1" applyFill="1" applyBorder="1" applyProtection="1"/>
    <xf numFmtId="0" fontId="23" fillId="10" borderId="81" xfId="0" applyFont="1" applyFill="1" applyBorder="1" applyProtection="1"/>
    <xf numFmtId="0" fontId="23" fillId="10" borderId="82" xfId="0" applyFont="1" applyFill="1" applyBorder="1" applyProtection="1"/>
    <xf numFmtId="0" fontId="23" fillId="10" borderId="65" xfId="0" applyFont="1" applyFill="1" applyBorder="1" applyProtection="1"/>
    <xf numFmtId="0" fontId="23" fillId="10" borderId="83" xfId="0" applyFont="1" applyFill="1" applyBorder="1" applyProtection="1"/>
    <xf numFmtId="0" fontId="23" fillId="10" borderId="66" xfId="0" applyFont="1" applyFill="1" applyBorder="1" applyProtection="1"/>
    <xf numFmtId="0" fontId="23" fillId="10" borderId="9" xfId="0" applyFont="1" applyFill="1" applyBorder="1" applyProtection="1"/>
    <xf numFmtId="0" fontId="23" fillId="10" borderId="58" xfId="0" applyFont="1" applyFill="1" applyBorder="1" applyProtection="1"/>
    <xf numFmtId="0" fontId="23" fillId="10" borderId="59" xfId="0" applyFont="1" applyFill="1" applyBorder="1" applyProtection="1"/>
    <xf numFmtId="0" fontId="0" fillId="10" borderId="60" xfId="0" applyFill="1" applyBorder="1" applyProtection="1"/>
    <xf numFmtId="0" fontId="23" fillId="10" borderId="99" xfId="0" applyFont="1" applyFill="1" applyBorder="1" applyProtection="1"/>
    <xf numFmtId="0" fontId="23" fillId="10" borderId="60" xfId="0" applyFont="1" applyFill="1" applyBorder="1" applyProtection="1"/>
    <xf numFmtId="0" fontId="0" fillId="0" borderId="61" xfId="0" applyBorder="1" applyProtection="1"/>
    <xf numFmtId="0" fontId="0" fillId="0" borderId="5" xfId="0" applyBorder="1" applyProtection="1"/>
    <xf numFmtId="0" fontId="0" fillId="0" borderId="75" xfId="0" applyFill="1" applyBorder="1" applyProtection="1"/>
    <xf numFmtId="0" fontId="0" fillId="0" borderId="56" xfId="0" applyBorder="1" applyProtection="1"/>
    <xf numFmtId="0" fontId="0" fillId="0" borderId="2" xfId="0" applyBorder="1" applyProtection="1"/>
    <xf numFmtId="0" fontId="0" fillId="0" borderId="4" xfId="0" applyBorder="1" applyProtection="1"/>
    <xf numFmtId="0" fontId="0" fillId="0" borderId="69" xfId="0" applyBorder="1" applyProtection="1"/>
    <xf numFmtId="0" fontId="0" fillId="0" borderId="76" xfId="0" applyBorder="1" applyProtection="1"/>
    <xf numFmtId="10" fontId="0" fillId="12" borderId="0" xfId="0" applyNumberFormat="1" applyFill="1" applyProtection="1"/>
    <xf numFmtId="0" fontId="26" fillId="12" borderId="2" xfId="0" applyFont="1" applyFill="1" applyBorder="1" applyAlignment="1" applyProtection="1">
      <alignment horizontal="center" vertical="center"/>
    </xf>
    <xf numFmtId="1" fontId="0" fillId="12" borderId="53" xfId="0" applyNumberFormat="1" applyFill="1" applyBorder="1" applyAlignment="1" applyProtection="1">
      <alignment horizontal="right"/>
    </xf>
    <xf numFmtId="0" fontId="0" fillId="0" borderId="53" xfId="0" applyFill="1" applyBorder="1" applyAlignment="1" applyProtection="1">
      <alignment horizontal="right"/>
    </xf>
    <xf numFmtId="0" fontId="0" fillId="0" borderId="54" xfId="0" applyFill="1" applyBorder="1" applyAlignment="1" applyProtection="1">
      <alignment horizontal="right"/>
    </xf>
    <xf numFmtId="1" fontId="0" fillId="0" borderId="4" xfId="0" applyNumberFormat="1" applyFill="1" applyBorder="1" applyAlignment="1" applyProtection="1">
      <alignment horizontal="right"/>
    </xf>
    <xf numFmtId="0" fontId="0" fillId="0" borderId="54" xfId="0" applyBorder="1" applyProtection="1"/>
    <xf numFmtId="0" fontId="0" fillId="0" borderId="55" xfId="0" applyBorder="1" applyProtection="1"/>
    <xf numFmtId="0" fontId="0" fillId="12" borderId="2" xfId="0" applyFill="1" applyBorder="1" applyProtection="1"/>
    <xf numFmtId="0" fontId="0" fillId="12" borderId="57" xfId="0" applyFill="1" applyBorder="1" applyProtection="1"/>
    <xf numFmtId="1" fontId="0" fillId="12" borderId="2" xfId="0" applyNumberFormat="1" applyFill="1" applyBorder="1" applyAlignment="1" applyProtection="1">
      <alignment horizontal="right"/>
    </xf>
    <xf numFmtId="0" fontId="0" fillId="0" borderId="56" xfId="0" applyFill="1" applyBorder="1" applyAlignment="1" applyProtection="1">
      <alignment horizontal="right"/>
    </xf>
    <xf numFmtId="0" fontId="0" fillId="0" borderId="2" xfId="0" applyFill="1" applyBorder="1" applyAlignment="1" applyProtection="1">
      <alignment horizontal="right"/>
    </xf>
    <xf numFmtId="1" fontId="0" fillId="0" borderId="4" xfId="0" applyNumberFormat="1" applyFill="1" applyBorder="1" applyProtection="1"/>
    <xf numFmtId="0" fontId="0" fillId="0" borderId="57" xfId="0" applyBorder="1" applyProtection="1"/>
    <xf numFmtId="1" fontId="0" fillId="12" borderId="57" xfId="0" applyNumberFormat="1" applyFill="1" applyBorder="1" applyAlignment="1" applyProtection="1">
      <alignment horizontal="right"/>
    </xf>
    <xf numFmtId="0" fontId="0" fillId="0" borderId="4" xfId="0" applyFill="1" applyBorder="1" applyAlignment="1" applyProtection="1">
      <alignment horizontal="right"/>
    </xf>
    <xf numFmtId="0" fontId="0" fillId="0" borderId="56" xfId="0" applyFill="1" applyBorder="1" applyProtection="1"/>
    <xf numFmtId="0" fontId="0" fillId="0" borderId="2" xfId="0" applyFill="1" applyBorder="1" applyProtection="1"/>
    <xf numFmtId="0" fontId="0" fillId="0" borderId="4" xfId="0" applyFill="1" applyBorder="1" applyProtection="1"/>
    <xf numFmtId="10" fontId="0" fillId="0" borderId="2" xfId="0" applyNumberFormat="1" applyFill="1" applyBorder="1" applyProtection="1"/>
    <xf numFmtId="0" fontId="0" fillId="0" borderId="66" xfId="0" applyBorder="1" applyProtection="1"/>
    <xf numFmtId="0" fontId="0" fillId="0" borderId="3" xfId="0" applyBorder="1" applyProtection="1"/>
    <xf numFmtId="0" fontId="0" fillId="0" borderId="58" xfId="0" applyFill="1" applyBorder="1" applyProtection="1"/>
    <xf numFmtId="10" fontId="0" fillId="0" borderId="59" xfId="0" applyNumberFormat="1" applyFill="1" applyBorder="1" applyProtection="1"/>
    <xf numFmtId="0" fontId="0" fillId="0" borderId="59" xfId="0" applyFill="1" applyBorder="1" applyProtection="1"/>
    <xf numFmtId="0" fontId="0" fillId="0" borderId="78" xfId="0" applyFill="1" applyBorder="1" applyProtection="1"/>
    <xf numFmtId="0" fontId="0" fillId="0" borderId="58" xfId="0" applyFill="1" applyBorder="1" applyAlignment="1" applyProtection="1">
      <alignment horizontal="right"/>
    </xf>
    <xf numFmtId="0" fontId="0" fillId="0" borderId="59" xfId="0" applyBorder="1" applyProtection="1"/>
    <xf numFmtId="0" fontId="0" fillId="0" borderId="60" xfId="0" applyBorder="1" applyProtection="1"/>
    <xf numFmtId="0" fontId="32" fillId="13" borderId="63" xfId="0" applyFont="1" applyFill="1" applyBorder="1" applyProtection="1"/>
    <xf numFmtId="0" fontId="32" fillId="13" borderId="64" xfId="0" applyFont="1" applyFill="1" applyBorder="1" applyProtection="1"/>
    <xf numFmtId="0" fontId="32" fillId="13" borderId="72" xfId="0" applyFont="1" applyFill="1" applyBorder="1" applyProtection="1"/>
    <xf numFmtId="0" fontId="0" fillId="13" borderId="58" xfId="0" applyFill="1" applyBorder="1" applyProtection="1"/>
    <xf numFmtId="0" fontId="0" fillId="13" borderId="59" xfId="0" applyFill="1" applyBorder="1" applyProtection="1"/>
    <xf numFmtId="0" fontId="0" fillId="13" borderId="78" xfId="0" applyFill="1" applyBorder="1" applyProtection="1"/>
    <xf numFmtId="0" fontId="0" fillId="13" borderId="70" xfId="0" applyFill="1" applyBorder="1" applyProtection="1"/>
    <xf numFmtId="10" fontId="0" fillId="13" borderId="0" xfId="0" applyNumberFormat="1" applyFill="1" applyProtection="1"/>
    <xf numFmtId="10" fontId="0" fillId="0" borderId="0" xfId="0" applyNumberFormat="1" applyFill="1" applyProtection="1"/>
    <xf numFmtId="0" fontId="0" fillId="9" borderId="53" xfId="0" applyFill="1" applyBorder="1" applyProtection="1"/>
    <xf numFmtId="0" fontId="0" fillId="9" borderId="54" xfId="0" applyFill="1" applyBorder="1" applyProtection="1"/>
    <xf numFmtId="0" fontId="0" fillId="0" borderId="71" xfId="0" applyFill="1" applyBorder="1" applyProtection="1"/>
    <xf numFmtId="0" fontId="0" fillId="0" borderId="71" xfId="0" applyBorder="1" applyProtection="1"/>
    <xf numFmtId="0" fontId="26" fillId="12" borderId="7" xfId="0" applyFont="1" applyFill="1" applyBorder="1" applyAlignment="1" applyProtection="1">
      <alignment horizontal="center" vertical="center"/>
    </xf>
    <xf numFmtId="0" fontId="0" fillId="12" borderId="53" xfId="0" applyFill="1" applyBorder="1" applyProtection="1"/>
    <xf numFmtId="0" fontId="0" fillId="12" borderId="54" xfId="0" applyFill="1" applyBorder="1" applyProtection="1"/>
    <xf numFmtId="0" fontId="0" fillId="12" borderId="55" xfId="0" applyFill="1" applyBorder="1" applyProtection="1"/>
    <xf numFmtId="0" fontId="0" fillId="0" borderId="53" xfId="0" applyFill="1" applyBorder="1" applyProtection="1"/>
    <xf numFmtId="0" fontId="0" fillId="0" borderId="54" xfId="0" applyFill="1" applyBorder="1" applyProtection="1"/>
    <xf numFmtId="0" fontId="0" fillId="0" borderId="77" xfId="0" applyFill="1" applyBorder="1" applyProtection="1"/>
    <xf numFmtId="0" fontId="0" fillId="0" borderId="69" xfId="0" applyFill="1" applyBorder="1" applyProtection="1"/>
    <xf numFmtId="0" fontId="0" fillId="8" borderId="56" xfId="0" applyFill="1" applyBorder="1" applyProtection="1"/>
    <xf numFmtId="0" fontId="42" fillId="0" borderId="0" xfId="0" applyFont="1" applyProtection="1"/>
    <xf numFmtId="0" fontId="0" fillId="0" borderId="59" xfId="0" applyFill="1" applyBorder="1" applyAlignment="1" applyProtection="1">
      <alignment horizontal="right"/>
    </xf>
    <xf numFmtId="0" fontId="0" fillId="0" borderId="78" xfId="0" applyFill="1" applyBorder="1" applyAlignment="1" applyProtection="1">
      <alignment horizontal="right"/>
    </xf>
    <xf numFmtId="0" fontId="32" fillId="13" borderId="52" xfId="0" applyFont="1" applyFill="1" applyBorder="1" applyProtection="1"/>
    <xf numFmtId="0" fontId="0" fillId="8" borderId="52" xfId="0" applyFill="1" applyBorder="1" applyProtection="1"/>
    <xf numFmtId="0" fontId="0" fillId="0" borderId="77" xfId="0" applyFill="1" applyBorder="1" applyAlignment="1" applyProtection="1">
      <alignment horizontal="right"/>
    </xf>
    <xf numFmtId="0" fontId="0" fillId="0" borderId="58" xfId="0" applyBorder="1" applyProtection="1"/>
    <xf numFmtId="0" fontId="0" fillId="8" borderId="2" xfId="0" applyFill="1" applyBorder="1" applyProtection="1"/>
    <xf numFmtId="0" fontId="0" fillId="0" borderId="85" xfId="0" applyBorder="1" applyProtection="1"/>
    <xf numFmtId="0" fontId="0" fillId="12" borderId="15" xfId="0" applyFill="1" applyBorder="1" applyProtection="1"/>
    <xf numFmtId="0" fontId="0" fillId="12" borderId="86" xfId="0" applyFill="1" applyBorder="1" applyProtection="1"/>
    <xf numFmtId="10" fontId="0" fillId="11" borderId="0" xfId="0" applyNumberFormat="1" applyFill="1" applyProtection="1"/>
    <xf numFmtId="0" fontId="0" fillId="0" borderId="0" xfId="0" applyFill="1" applyAlignment="1" applyProtection="1">
      <alignment horizontal="right"/>
    </xf>
    <xf numFmtId="0" fontId="0" fillId="0" borderId="0" xfId="0" applyFill="1" applyBorder="1" applyAlignment="1" applyProtection="1">
      <alignment horizontal="right"/>
    </xf>
    <xf numFmtId="0" fontId="0" fillId="9" borderId="68" xfId="0" applyFill="1" applyBorder="1" applyProtection="1"/>
    <xf numFmtId="0" fontId="0" fillId="9" borderId="79" xfId="0" applyFill="1" applyBorder="1" applyProtection="1"/>
    <xf numFmtId="0" fontId="0" fillId="0" borderId="7" xfId="0" applyBorder="1" applyProtection="1"/>
    <xf numFmtId="10" fontId="0" fillId="12" borderId="0" xfId="0" applyNumberFormat="1" applyFill="1" applyAlignment="1" applyProtection="1">
      <alignment horizontal="center"/>
    </xf>
    <xf numFmtId="0" fontId="0" fillId="0" borderId="70" xfId="0" applyBorder="1" applyProtection="1"/>
    <xf numFmtId="0" fontId="0" fillId="0" borderId="0" xfId="0" applyFill="1" applyBorder="1" applyProtection="1"/>
    <xf numFmtId="0" fontId="0" fillId="8" borderId="79" xfId="0" applyFill="1" applyBorder="1" applyProtection="1"/>
    <xf numFmtId="0" fontId="0" fillId="0" borderId="21" xfId="0" applyBorder="1" applyProtection="1"/>
    <xf numFmtId="9" fontId="0" fillId="0" borderId="22" xfId="0" applyNumberFormat="1" applyBorder="1" applyProtection="1"/>
    <xf numFmtId="0" fontId="0" fillId="0" borderId="22" xfId="0" applyBorder="1" applyProtection="1"/>
    <xf numFmtId="0" fontId="0" fillId="0" borderId="23" xfId="0" applyBorder="1" applyProtection="1"/>
    <xf numFmtId="0" fontId="0" fillId="0" borderId="16" xfId="0" applyBorder="1" applyProtection="1"/>
    <xf numFmtId="9" fontId="0" fillId="0" borderId="0" xfId="0" applyNumberFormat="1" applyBorder="1" applyProtection="1"/>
    <xf numFmtId="0" fontId="0" fillId="0" borderId="17" xfId="0" applyBorder="1" applyProtection="1"/>
    <xf numFmtId="0" fontId="23" fillId="10" borderId="0" xfId="0" applyFont="1" applyFill="1" applyProtection="1"/>
    <xf numFmtId="0" fontId="0" fillId="0" borderId="72" xfId="0" applyFont="1" applyBorder="1" applyProtection="1"/>
    <xf numFmtId="0" fontId="0" fillId="0" borderId="73" xfId="0" applyFont="1" applyBorder="1" applyProtection="1"/>
    <xf numFmtId="0" fontId="0" fillId="0" borderId="74" xfId="0" applyFont="1" applyBorder="1" applyProtection="1"/>
    <xf numFmtId="0" fontId="0" fillId="0" borderId="52" xfId="0" applyBorder="1" applyProtection="1"/>
    <xf numFmtId="0" fontId="0" fillId="0" borderId="18" xfId="0" applyBorder="1" applyProtection="1"/>
    <xf numFmtId="9" fontId="0" fillId="0" borderId="19" xfId="0" applyNumberFormat="1" applyBorder="1" applyProtection="1"/>
    <xf numFmtId="0" fontId="0" fillId="0" borderId="19" xfId="0" applyBorder="1" applyProtection="1"/>
    <xf numFmtId="0" fontId="0" fillId="0" borderId="20" xfId="0" applyBorder="1" applyProtection="1"/>
    <xf numFmtId="0" fontId="0" fillId="10" borderId="0" xfId="0" applyFill="1" applyProtection="1"/>
    <xf numFmtId="0" fontId="0" fillId="2" borderId="0" xfId="0" applyFill="1" applyProtection="1">
      <protection locked="0" hidden="1"/>
    </xf>
    <xf numFmtId="0" fontId="0" fillId="2" borderId="0" xfId="0" applyFill="1" applyAlignment="1" applyProtection="1">
      <alignment wrapText="1"/>
      <protection locked="0" hidden="1"/>
    </xf>
    <xf numFmtId="0" fontId="12" fillId="2" borderId="0" xfId="0" applyFont="1" applyFill="1" applyAlignment="1" applyProtection="1">
      <alignment horizontal="center" wrapText="1"/>
      <protection locked="0" hidden="1"/>
    </xf>
    <xf numFmtId="0" fontId="5" fillId="16" borderId="0" xfId="0" applyFont="1" applyFill="1" applyAlignment="1" applyProtection="1">
      <alignment vertical="top" wrapText="1"/>
      <protection hidden="1"/>
    </xf>
    <xf numFmtId="0" fontId="5" fillId="15" borderId="0" xfId="0" applyFont="1" applyFill="1" applyAlignment="1" applyProtection="1">
      <alignment vertical="top" wrapText="1"/>
      <protection hidden="1"/>
    </xf>
    <xf numFmtId="0" fontId="5" fillId="14" borderId="0" xfId="0" applyFont="1" applyFill="1" applyAlignment="1" applyProtection="1">
      <alignment vertical="top" wrapText="1"/>
      <protection hidden="1"/>
    </xf>
    <xf numFmtId="0" fontId="19" fillId="3" borderId="1" xfId="0" applyFont="1" applyFill="1" applyBorder="1" applyAlignment="1" applyProtection="1">
      <alignment vertical="top"/>
    </xf>
    <xf numFmtId="0" fontId="19" fillId="3" borderId="1" xfId="0" applyFont="1" applyFill="1" applyBorder="1" applyAlignment="1" applyProtection="1">
      <alignment vertical="top" wrapText="1"/>
    </xf>
    <xf numFmtId="0" fontId="29" fillId="2" borderId="111" xfId="0" applyFont="1" applyFill="1" applyBorder="1" applyAlignment="1" applyProtection="1">
      <alignment vertical="top" wrapText="1"/>
    </xf>
    <xf numFmtId="0" fontId="29" fillId="2" borderId="112" xfId="0" applyFont="1" applyFill="1" applyBorder="1" applyAlignment="1" applyProtection="1">
      <alignment horizontal="left" wrapText="1"/>
    </xf>
    <xf numFmtId="0" fontId="0" fillId="4" borderId="0" xfId="0" applyFill="1" applyAlignment="1" applyProtection="1">
      <alignment wrapText="1"/>
    </xf>
    <xf numFmtId="164" fontId="9" fillId="5" borderId="26" xfId="2" applyNumberFormat="1" applyFont="1" applyFill="1" applyBorder="1" applyAlignment="1" applyProtection="1">
      <alignment horizontal="left" vertical="center"/>
    </xf>
    <xf numFmtId="0" fontId="39" fillId="2" borderId="0" xfId="0" applyFont="1" applyFill="1" applyBorder="1" applyAlignment="1" applyProtection="1">
      <alignment horizontal="left" vertical="center"/>
      <protection hidden="1"/>
    </xf>
    <xf numFmtId="0" fontId="9" fillId="4" borderId="0" xfId="0" applyFont="1" applyFill="1" applyAlignment="1" applyProtection="1">
      <alignment horizontal="left" vertical="top" wrapText="1"/>
    </xf>
    <xf numFmtId="0" fontId="23" fillId="6" borderId="0" xfId="0" applyFont="1" applyFill="1" applyBorder="1" applyAlignment="1" applyProtection="1">
      <alignment horizontal="right"/>
      <protection hidden="1"/>
    </xf>
    <xf numFmtId="0" fontId="26" fillId="5" borderId="93" xfId="0" applyFont="1" applyFill="1" applyBorder="1" applyAlignment="1" applyProtection="1">
      <alignment horizontal="right" vertical="center"/>
      <protection hidden="1"/>
    </xf>
    <xf numFmtId="0" fontId="0" fillId="4" borderId="0" xfId="0" applyFill="1" applyBorder="1" applyAlignment="1" applyProtection="1">
      <alignment wrapText="1"/>
    </xf>
    <xf numFmtId="0" fontId="0" fillId="2" borderId="0" xfId="0" applyFill="1" applyBorder="1" applyAlignment="1" applyProtection="1">
      <alignment horizontal="right"/>
      <protection hidden="1"/>
    </xf>
    <xf numFmtId="0" fontId="0" fillId="2" borderId="0" xfId="0" applyFill="1" applyBorder="1" applyAlignment="1" applyProtection="1">
      <alignment wrapText="1"/>
      <protection hidden="1"/>
    </xf>
    <xf numFmtId="0" fontId="0" fillId="2" borderId="0" xfId="0" applyFill="1" applyBorder="1" applyAlignment="1" applyProtection="1">
      <alignment horizontal="left" wrapText="1"/>
      <protection hidden="1"/>
    </xf>
    <xf numFmtId="0" fontId="26" fillId="4" borderId="6" xfId="0" applyFont="1" applyFill="1" applyBorder="1" applyAlignment="1" applyProtection="1">
      <alignment horizontal="left" vertical="center"/>
      <protection locked="0"/>
    </xf>
    <xf numFmtId="0" fontId="26" fillId="5" borderId="93" xfId="0" applyFont="1" applyFill="1" applyBorder="1" applyAlignment="1" applyProtection="1">
      <alignment horizontal="center" vertical="center"/>
      <protection locked="0"/>
    </xf>
    <xf numFmtId="0" fontId="29" fillId="2" borderId="1" xfId="0" applyFont="1" applyFill="1" applyBorder="1" applyAlignment="1" applyProtection="1">
      <alignment vertical="top" wrapText="1"/>
    </xf>
    <xf numFmtId="0" fontId="29" fillId="2" borderId="112" xfId="0" applyFont="1" applyFill="1" applyBorder="1" applyAlignment="1" applyProtection="1">
      <alignment horizontal="center" vertical="top" wrapText="1"/>
    </xf>
    <xf numFmtId="0" fontId="48" fillId="4" borderId="1" xfId="0" applyFont="1" applyFill="1" applyBorder="1" applyAlignment="1" applyProtection="1">
      <alignment horizontal="left"/>
    </xf>
    <xf numFmtId="0" fontId="46" fillId="4" borderId="0" xfId="0" applyFont="1" applyFill="1" applyAlignment="1" applyProtection="1">
      <alignment horizontal="left"/>
      <protection hidden="1"/>
    </xf>
    <xf numFmtId="0" fontId="24" fillId="0" borderId="2" xfId="0" applyFont="1" applyBorder="1" applyProtection="1"/>
    <xf numFmtId="0" fontId="24" fillId="0" borderId="5" xfId="0" applyFont="1" applyBorder="1" applyProtection="1"/>
    <xf numFmtId="0" fontId="24" fillId="0" borderId="2" xfId="0" applyFont="1" applyFill="1" applyBorder="1" applyProtection="1"/>
    <xf numFmtId="1" fontId="0" fillId="12" borderId="54" xfId="0" applyNumberFormat="1" applyFill="1" applyBorder="1" applyAlignment="1" applyProtection="1">
      <alignment horizontal="right"/>
    </xf>
    <xf numFmtId="1" fontId="0" fillId="12" borderId="56" xfId="0" applyNumberFormat="1" applyFill="1" applyBorder="1" applyAlignment="1" applyProtection="1">
      <alignment horizontal="right"/>
    </xf>
    <xf numFmtId="1" fontId="0" fillId="12" borderId="56" xfId="0" applyNumberFormat="1" applyFill="1" applyBorder="1" applyProtection="1"/>
    <xf numFmtId="1" fontId="0" fillId="12" borderId="2" xfId="0" applyNumberFormat="1" applyFill="1" applyBorder="1" applyProtection="1"/>
    <xf numFmtId="1" fontId="0" fillId="12" borderId="57" xfId="0" applyNumberFormat="1" applyFill="1" applyBorder="1" applyProtection="1"/>
    <xf numFmtId="1" fontId="0" fillId="12" borderId="58" xfId="0" applyNumberFormat="1" applyFill="1" applyBorder="1" applyProtection="1"/>
    <xf numFmtId="1" fontId="0" fillId="12" borderId="59" xfId="0" applyNumberFormat="1" applyFill="1" applyBorder="1" applyProtection="1"/>
    <xf numFmtId="1" fontId="0" fillId="12" borderId="60" xfId="0" applyNumberFormat="1" applyFill="1" applyBorder="1" applyProtection="1"/>
    <xf numFmtId="1" fontId="0" fillId="12" borderId="53" xfId="0" applyNumberFormat="1" applyFill="1" applyBorder="1" applyProtection="1"/>
    <xf numFmtId="1" fontId="0" fillId="12" borderId="54" xfId="0" applyNumberFormat="1" applyFill="1" applyBorder="1" applyProtection="1"/>
    <xf numFmtId="1" fontId="0" fillId="12" borderId="55" xfId="0" applyNumberFormat="1" applyFill="1" applyBorder="1" applyProtection="1"/>
    <xf numFmtId="1" fontId="0" fillId="12" borderId="58" xfId="0" applyNumberFormat="1" applyFill="1" applyBorder="1" applyAlignment="1" applyProtection="1">
      <alignment horizontal="right"/>
    </xf>
    <xf numFmtId="1" fontId="0" fillId="12" borderId="59" xfId="0" applyNumberFormat="1" applyFill="1" applyBorder="1" applyAlignment="1" applyProtection="1">
      <alignment horizontal="right"/>
    </xf>
    <xf numFmtId="1" fontId="0" fillId="12" borderId="60" xfId="0" applyNumberFormat="1" applyFill="1" applyBorder="1" applyAlignment="1" applyProtection="1">
      <alignment horizontal="right"/>
    </xf>
    <xf numFmtId="1" fontId="24" fillId="12" borderId="2" xfId="0" applyNumberFormat="1" applyFont="1" applyFill="1" applyBorder="1" applyAlignment="1" applyProtection="1">
      <alignment horizontal="right"/>
    </xf>
    <xf numFmtId="1" fontId="24" fillId="12" borderId="56" xfId="0" applyNumberFormat="1" applyFont="1" applyFill="1" applyBorder="1" applyProtection="1"/>
    <xf numFmtId="1" fontId="24" fillId="12" borderId="2" xfId="0" applyNumberFormat="1" applyFont="1" applyFill="1" applyBorder="1" applyProtection="1"/>
    <xf numFmtId="1" fontId="24" fillId="12" borderId="57" xfId="0" applyNumberFormat="1" applyFont="1" applyFill="1" applyBorder="1" applyProtection="1"/>
    <xf numFmtId="1" fontId="24" fillId="12" borderId="54" xfId="0" applyNumberFormat="1" applyFont="1" applyFill="1" applyBorder="1" applyProtection="1"/>
    <xf numFmtId="0" fontId="0" fillId="12" borderId="116" xfId="0" applyFill="1" applyBorder="1" applyProtection="1"/>
    <xf numFmtId="0" fontId="0" fillId="12" borderId="84" xfId="0" applyFill="1" applyBorder="1" applyProtection="1"/>
    <xf numFmtId="0" fontId="0" fillId="12" borderId="117" xfId="0" applyFill="1" applyBorder="1" applyProtection="1"/>
    <xf numFmtId="0" fontId="0" fillId="12" borderId="56" xfId="0" applyFill="1" applyBorder="1" applyProtection="1"/>
    <xf numFmtId="0" fontId="0" fillId="0" borderId="53" xfId="0" applyBorder="1" applyProtection="1"/>
    <xf numFmtId="0" fontId="0" fillId="0" borderId="15" xfId="0" applyBorder="1" applyProtection="1"/>
    <xf numFmtId="0" fontId="23" fillId="6" borderId="45" xfId="0" applyFont="1" applyFill="1" applyBorder="1" applyAlignment="1" applyProtection="1">
      <alignment vertical="center"/>
    </xf>
    <xf numFmtId="0" fontId="23" fillId="6" borderId="45" xfId="0" applyFont="1" applyFill="1" applyBorder="1" applyAlignment="1" applyProtection="1">
      <alignment vertical="center"/>
      <protection locked="0"/>
    </xf>
    <xf numFmtId="0" fontId="23" fillId="6" borderId="48" xfId="0" applyFont="1" applyFill="1" applyBorder="1" applyAlignment="1" applyProtection="1">
      <alignment horizontal="left" vertical="center"/>
      <protection locked="0"/>
    </xf>
    <xf numFmtId="0" fontId="0" fillId="5" borderId="24" xfId="0" applyFont="1" applyFill="1" applyBorder="1" applyAlignment="1" applyProtection="1">
      <alignment horizontal="left" vertical="center"/>
    </xf>
    <xf numFmtId="0" fontId="0" fillId="4" borderId="0" xfId="0" applyFill="1" applyAlignment="1" applyProtection="1">
      <alignment vertical="center" wrapText="1"/>
      <protection locked="0"/>
    </xf>
    <xf numFmtId="0" fontId="32" fillId="5" borderId="88" xfId="0" applyFont="1" applyFill="1" applyBorder="1" applyAlignment="1" applyProtection="1">
      <alignment horizontal="left" vertical="center"/>
    </xf>
    <xf numFmtId="0" fontId="0" fillId="2" borderId="0" xfId="0" applyFill="1" applyBorder="1" applyAlignment="1" applyProtection="1">
      <alignment horizontal="left" vertical="center"/>
    </xf>
    <xf numFmtId="0" fontId="0" fillId="2" borderId="0" xfId="0" applyFill="1" applyBorder="1" applyAlignment="1" applyProtection="1">
      <alignment vertical="center"/>
    </xf>
    <xf numFmtId="0" fontId="0" fillId="2" borderId="0" xfId="0" applyFill="1" applyBorder="1" applyAlignment="1" applyProtection="1">
      <alignment vertical="center"/>
      <protection locked="0"/>
    </xf>
    <xf numFmtId="0" fontId="0" fillId="2" borderId="0" xfId="0" applyFill="1" applyBorder="1" applyAlignment="1" applyProtection="1">
      <alignment horizontal="left" vertical="center" wrapText="1"/>
      <protection locked="0"/>
    </xf>
    <xf numFmtId="0" fontId="0" fillId="2" borderId="0" xfId="0" applyFill="1" applyBorder="1" applyAlignment="1" applyProtection="1">
      <alignment vertical="center" wrapText="1"/>
      <protection locked="0"/>
    </xf>
    <xf numFmtId="0" fontId="0" fillId="4" borderId="0" xfId="0" applyFill="1" applyBorder="1" applyAlignment="1" applyProtection="1">
      <alignment vertical="center" wrapText="1"/>
      <protection locked="0"/>
    </xf>
    <xf numFmtId="0" fontId="28" fillId="6" borderId="0" xfId="0" applyFont="1" applyFill="1" applyBorder="1" applyAlignment="1" applyProtection="1">
      <alignment horizontal="left" vertical="center"/>
    </xf>
    <xf numFmtId="0" fontId="23" fillId="6" borderId="45" xfId="0" applyFont="1" applyFill="1" applyBorder="1" applyAlignment="1" applyProtection="1">
      <alignment horizontal="left" vertical="center" wrapText="1"/>
      <protection locked="0"/>
    </xf>
    <xf numFmtId="0" fontId="23" fillId="6" borderId="39" xfId="0" applyFont="1" applyFill="1" applyBorder="1" applyAlignment="1" applyProtection="1">
      <alignment vertical="center"/>
      <protection locked="0"/>
    </xf>
    <xf numFmtId="0" fontId="23" fillId="6" borderId="48" xfId="0" applyFont="1" applyFill="1" applyBorder="1" applyAlignment="1" applyProtection="1">
      <alignment horizontal="left" vertical="center" wrapText="1"/>
      <protection locked="0"/>
    </xf>
    <xf numFmtId="0" fontId="23" fillId="6" borderId="1" xfId="0" applyFont="1" applyFill="1" applyBorder="1" applyAlignment="1" applyProtection="1">
      <alignment horizontal="left" vertical="center" wrapText="1"/>
      <protection locked="0"/>
    </xf>
    <xf numFmtId="0" fontId="23" fillId="6" borderId="1" xfId="0" applyFont="1" applyFill="1" applyBorder="1" applyAlignment="1" applyProtection="1">
      <alignment vertical="center" wrapText="1"/>
      <protection locked="0"/>
    </xf>
    <xf numFmtId="0" fontId="23" fillId="6" borderId="51" xfId="0" applyFont="1" applyFill="1" applyBorder="1" applyAlignment="1" applyProtection="1">
      <alignment vertical="center" wrapText="1"/>
      <protection locked="0"/>
    </xf>
    <xf numFmtId="0" fontId="0" fillId="2" borderId="0" xfId="0" applyFill="1" applyBorder="1" applyAlignment="1" applyProtection="1">
      <alignment horizontal="left" vertical="center" wrapText="1"/>
    </xf>
    <xf numFmtId="0" fontId="28" fillId="6" borderId="0" xfId="0" applyFont="1" applyFill="1" applyBorder="1" applyAlignment="1" applyProtection="1">
      <alignment horizontal="left" vertical="center" wrapText="1"/>
    </xf>
    <xf numFmtId="164" fontId="23" fillId="6" borderId="45" xfId="0" applyNumberFormat="1" applyFont="1" applyFill="1" applyBorder="1" applyAlignment="1" applyProtection="1">
      <alignment vertical="center"/>
    </xf>
    <xf numFmtId="0" fontId="23" fillId="6" borderId="49" xfId="0" applyFont="1" applyFill="1" applyBorder="1" applyAlignment="1" applyProtection="1">
      <alignment horizontal="left" vertical="center" wrapText="1"/>
      <protection locked="0"/>
    </xf>
    <xf numFmtId="0" fontId="23" fillId="6" borderId="45" xfId="0" applyFont="1" applyFill="1" applyBorder="1" applyAlignment="1" applyProtection="1">
      <alignment vertical="center" wrapText="1"/>
      <protection locked="0"/>
    </xf>
    <xf numFmtId="0" fontId="23" fillId="6" borderId="46" xfId="0" applyFont="1" applyFill="1" applyBorder="1" applyAlignment="1" applyProtection="1">
      <alignment vertical="center" wrapText="1"/>
      <protection locked="0"/>
    </xf>
    <xf numFmtId="0" fontId="0" fillId="5" borderId="24" xfId="0" applyFont="1" applyFill="1" applyBorder="1" applyAlignment="1" applyProtection="1">
      <alignment horizontal="left" vertical="center" wrapText="1"/>
    </xf>
    <xf numFmtId="0" fontId="32" fillId="5" borderId="88" xfId="0" applyFont="1" applyFill="1" applyBorder="1" applyAlignment="1" applyProtection="1">
      <alignment horizontal="left" vertical="center" wrapText="1"/>
    </xf>
    <xf numFmtId="0" fontId="0" fillId="0" borderId="2" xfId="0" applyFill="1" applyBorder="1" applyProtection="1">
      <protection hidden="1"/>
    </xf>
    <xf numFmtId="0" fontId="0" fillId="2" borderId="0" xfId="0" applyFill="1" applyBorder="1" applyAlignment="1" applyProtection="1">
      <alignment horizontal="left" vertical="center"/>
      <protection hidden="1"/>
    </xf>
    <xf numFmtId="0" fontId="26" fillId="4" borderId="74" xfId="0" applyFont="1" applyFill="1" applyBorder="1" applyAlignment="1" applyProtection="1">
      <alignment horizontal="center" vertical="center"/>
      <protection locked="0"/>
    </xf>
    <xf numFmtId="0" fontId="0" fillId="18" borderId="72" xfId="0" applyFill="1" applyBorder="1" applyProtection="1"/>
    <xf numFmtId="0" fontId="0" fillId="18" borderId="74" xfId="0" applyFill="1" applyBorder="1" applyProtection="1"/>
    <xf numFmtId="0" fontId="23" fillId="10" borderId="77" xfId="0" applyFont="1" applyFill="1" applyBorder="1" applyProtection="1"/>
    <xf numFmtId="0" fontId="0" fillId="0" borderId="0" xfId="0"/>
    <xf numFmtId="0" fontId="51" fillId="4" borderId="0" xfId="0" applyFont="1" applyFill="1" applyBorder="1" applyAlignment="1">
      <alignment horizontal="left" vertical="top" wrapText="1"/>
    </xf>
    <xf numFmtId="0" fontId="50" fillId="0" borderId="0" xfId="0" applyFont="1" applyBorder="1"/>
    <xf numFmtId="0" fontId="51" fillId="0" borderId="0" xfId="0" applyFont="1" applyBorder="1"/>
    <xf numFmtId="0" fontId="51" fillId="0" borderId="0" xfId="0" applyFont="1" applyFill="1" applyBorder="1"/>
    <xf numFmtId="0" fontId="54" fillId="0" borderId="119" xfId="0" applyFont="1" applyBorder="1" applyProtection="1">
      <protection locked="0"/>
    </xf>
    <xf numFmtId="0" fontId="54" fillId="0" borderId="123" xfId="0" applyFont="1" applyBorder="1" applyProtection="1">
      <protection locked="0"/>
    </xf>
    <xf numFmtId="49" fontId="54" fillId="0" borderId="123" xfId="0" applyNumberFormat="1" applyFont="1" applyBorder="1" applyProtection="1">
      <protection locked="0"/>
    </xf>
    <xf numFmtId="0" fontId="54" fillId="0" borderId="120" xfId="0" applyFont="1" applyBorder="1" applyAlignment="1" applyProtection="1">
      <alignment horizontal="left" vertical="center"/>
      <protection locked="0"/>
    </xf>
    <xf numFmtId="0" fontId="54" fillId="0" borderId="121" xfId="0" applyFont="1" applyBorder="1" applyAlignment="1" applyProtection="1">
      <alignment horizontal="left" vertical="center"/>
      <protection locked="0"/>
    </xf>
    <xf numFmtId="0" fontId="54" fillId="0" borderId="122" xfId="0" applyFont="1" applyBorder="1" applyAlignment="1" applyProtection="1">
      <alignment horizontal="left" vertical="center"/>
      <protection locked="0"/>
    </xf>
    <xf numFmtId="0" fontId="51" fillId="19" borderId="63" xfId="0" applyFont="1" applyFill="1" applyBorder="1" applyAlignment="1">
      <alignment horizontal="center" vertical="top" wrapText="1"/>
    </xf>
    <xf numFmtId="0" fontId="51" fillId="19" borderId="64" xfId="0" applyFont="1" applyFill="1" applyBorder="1" applyAlignment="1">
      <alignment horizontal="left" vertical="top" wrapText="1"/>
    </xf>
    <xf numFmtId="0" fontId="51" fillId="19" borderId="65" xfId="0" applyFont="1" applyFill="1" applyBorder="1" applyAlignment="1">
      <alignment horizontal="center" vertical="top" wrapText="1"/>
    </xf>
    <xf numFmtId="0" fontId="0" fillId="8" borderId="108" xfId="0" applyFill="1" applyBorder="1"/>
    <xf numFmtId="0" fontId="0" fillId="8" borderId="72" xfId="0" applyFill="1" applyBorder="1"/>
    <xf numFmtId="0" fontId="19" fillId="3" borderId="0" xfId="0" applyFont="1" applyFill="1" applyBorder="1" applyAlignment="1" applyProtection="1">
      <alignment vertical="top"/>
      <protection hidden="1"/>
    </xf>
    <xf numFmtId="0" fontId="0" fillId="0" borderId="0" xfId="0" applyAlignment="1">
      <alignment horizontal="center" vertical="center"/>
    </xf>
    <xf numFmtId="0" fontId="0" fillId="18" borderId="5" xfId="0" applyFill="1" applyBorder="1"/>
    <xf numFmtId="0" fontId="0" fillId="0" borderId="0" xfId="0"/>
    <xf numFmtId="0" fontId="50" fillId="0" borderId="0" xfId="0" applyFont="1" applyBorder="1"/>
    <xf numFmtId="0" fontId="54" fillId="0" borderId="123" xfId="0" applyFont="1" applyBorder="1" applyProtection="1">
      <protection locked="0"/>
    </xf>
    <xf numFmtId="0" fontId="26" fillId="4" borderId="2" xfId="0" applyFont="1" applyFill="1" applyBorder="1" applyAlignment="1" applyProtection="1">
      <alignment horizontal="left" vertical="center"/>
      <protection hidden="1"/>
    </xf>
    <xf numFmtId="0" fontId="56" fillId="2" borderId="1" xfId="0" applyFont="1" applyFill="1" applyBorder="1" applyAlignment="1" applyProtection="1">
      <alignment horizontal="left"/>
      <protection hidden="1"/>
    </xf>
    <xf numFmtId="0" fontId="1" fillId="5" borderId="2" xfId="0" applyFont="1" applyFill="1" applyBorder="1" applyAlignment="1" applyProtection="1">
      <alignment horizontal="left" vertical="center"/>
      <protection hidden="1"/>
    </xf>
    <xf numFmtId="0" fontId="35" fillId="4" borderId="4" xfId="0" applyFont="1" applyFill="1" applyBorder="1" applyAlignment="1" applyProtection="1">
      <alignment horizontal="left" vertical="center"/>
      <protection hidden="1"/>
    </xf>
    <xf numFmtId="0" fontId="35" fillId="4" borderId="6" xfId="0" applyFont="1" applyFill="1" applyBorder="1" applyAlignment="1" applyProtection="1">
      <alignment horizontal="left" vertical="center"/>
      <protection hidden="1"/>
    </xf>
    <xf numFmtId="0" fontId="35" fillId="4" borderId="7" xfId="0" applyFont="1" applyFill="1" applyBorder="1" applyAlignment="1" applyProtection="1">
      <alignment horizontal="left" vertical="center"/>
      <protection hidden="1"/>
    </xf>
    <xf numFmtId="0" fontId="1" fillId="5" borderId="4" xfId="0" applyFont="1" applyFill="1" applyBorder="1" applyAlignment="1" applyProtection="1">
      <alignment horizontal="left" vertical="center"/>
      <protection hidden="1"/>
    </xf>
    <xf numFmtId="0" fontId="1" fillId="5" borderId="7" xfId="0" applyFont="1" applyFill="1" applyBorder="1" applyAlignment="1" applyProtection="1">
      <alignment horizontal="left" vertical="center"/>
      <protection hidden="1"/>
    </xf>
    <xf numFmtId="164" fontId="9" fillId="5" borderId="4" xfId="2" applyNumberFormat="1" applyFont="1" applyFill="1" applyBorder="1" applyAlignment="1" applyProtection="1">
      <alignment horizontal="left" vertical="center"/>
      <protection hidden="1"/>
    </xf>
    <xf numFmtId="10" fontId="9" fillId="5" borderId="7" xfId="2" applyNumberFormat="1" applyFont="1" applyFill="1" applyBorder="1" applyAlignment="1" applyProtection="1">
      <alignment horizontal="left" vertical="center"/>
      <protection hidden="1"/>
    </xf>
    <xf numFmtId="0" fontId="1" fillId="5" borderId="7" xfId="0" applyFont="1" applyFill="1" applyBorder="1" applyAlignment="1" applyProtection="1">
      <alignment vertical="center"/>
      <protection hidden="1"/>
    </xf>
    <xf numFmtId="0" fontId="0" fillId="4" borderId="6" xfId="0" applyFill="1" applyBorder="1" applyAlignment="1" applyProtection="1">
      <alignment horizontal="center"/>
      <protection hidden="1"/>
    </xf>
    <xf numFmtId="0" fontId="26" fillId="5" borderId="94" xfId="0" applyFont="1" applyFill="1" applyBorder="1" applyAlignment="1" applyProtection="1">
      <alignment horizontal="left" vertical="center" wrapText="1"/>
      <protection locked="0"/>
    </xf>
    <xf numFmtId="0" fontId="37" fillId="5" borderId="129" xfId="0" applyFont="1" applyFill="1" applyBorder="1" applyAlignment="1" applyProtection="1">
      <alignment horizontal="center" vertical="center" wrapText="1"/>
      <protection locked="0"/>
    </xf>
    <xf numFmtId="0" fontId="19" fillId="4" borderId="0" xfId="0" applyFont="1" applyFill="1" applyBorder="1" applyAlignment="1" applyProtection="1">
      <alignment vertical="top"/>
      <protection hidden="1"/>
    </xf>
    <xf numFmtId="0" fontId="19" fillId="3" borderId="1" xfId="0" applyFont="1" applyFill="1" applyBorder="1" applyAlignment="1" applyProtection="1">
      <alignment vertical="top"/>
      <protection hidden="1"/>
    </xf>
    <xf numFmtId="0" fontId="0" fillId="4" borderId="0" xfId="0" applyFill="1" applyAlignment="1" applyProtection="1">
      <protection hidden="1"/>
    </xf>
    <xf numFmtId="0" fontId="0" fillId="2" borderId="0" xfId="0" applyFill="1" applyAlignment="1" applyProtection="1">
      <protection hidden="1"/>
    </xf>
    <xf numFmtId="0" fontId="23" fillId="2" borderId="0" xfId="0" applyFont="1" applyFill="1" applyAlignment="1" applyProtection="1">
      <protection hidden="1"/>
    </xf>
    <xf numFmtId="0" fontId="0" fillId="4" borderId="0" xfId="0" applyFill="1" applyBorder="1" applyAlignment="1" applyProtection="1">
      <protection hidden="1"/>
    </xf>
    <xf numFmtId="0" fontId="23" fillId="2" borderId="0" xfId="0" applyFont="1" applyFill="1" applyBorder="1" applyAlignment="1" applyProtection="1">
      <protection hidden="1"/>
    </xf>
    <xf numFmtId="0" fontId="11" fillId="2" borderId="14" xfId="0" applyFont="1" applyFill="1" applyBorder="1" applyAlignment="1" applyProtection="1">
      <protection hidden="1"/>
    </xf>
    <xf numFmtId="0" fontId="56" fillId="2" borderId="1" xfId="0" applyFont="1" applyFill="1" applyBorder="1" applyAlignment="1" applyProtection="1">
      <alignment horizontal="center"/>
      <protection hidden="1"/>
    </xf>
    <xf numFmtId="0" fontId="44" fillId="2" borderId="1" xfId="0" applyFont="1" applyFill="1" applyBorder="1" applyAlignment="1" applyProtection="1">
      <alignment horizontal="center"/>
      <protection hidden="1"/>
    </xf>
    <xf numFmtId="0" fontId="49" fillId="2" borderId="1" xfId="0" applyFont="1" applyFill="1" applyBorder="1" applyAlignment="1" applyProtection="1">
      <alignment horizontal="center"/>
      <protection hidden="1"/>
    </xf>
    <xf numFmtId="0" fontId="44" fillId="2" borderId="5" xfId="0" applyFont="1" applyFill="1" applyBorder="1" applyAlignment="1" applyProtection="1">
      <alignment horizontal="center"/>
      <protection hidden="1"/>
    </xf>
    <xf numFmtId="0" fontId="56" fillId="2" borderId="14" xfId="0" applyFont="1" applyFill="1" applyBorder="1" applyAlignment="1" applyProtection="1">
      <alignment horizontal="center"/>
      <protection hidden="1"/>
    </xf>
    <xf numFmtId="0" fontId="44" fillId="2" borderId="0" xfId="0" applyFont="1" applyFill="1" applyBorder="1" applyAlignment="1" applyProtection="1">
      <alignment horizontal="center"/>
      <protection hidden="1"/>
    </xf>
    <xf numFmtId="0" fontId="0" fillId="2" borderId="1" xfId="0" applyFill="1" applyBorder="1" applyAlignment="1" applyProtection="1">
      <protection hidden="1"/>
    </xf>
    <xf numFmtId="0" fontId="0" fillId="2" borderId="12" xfId="0" applyFont="1" applyFill="1" applyBorder="1" applyAlignment="1" applyProtection="1">
      <protection hidden="1"/>
    </xf>
    <xf numFmtId="0" fontId="0" fillId="4" borderId="15" xfId="0" applyFill="1" applyBorder="1" applyAlignment="1" applyProtection="1">
      <protection hidden="1"/>
    </xf>
    <xf numFmtId="0" fontId="0" fillId="2" borderId="0" xfId="0" applyFont="1" applyFill="1" applyAlignment="1" applyProtection="1">
      <protection hidden="1"/>
    </xf>
    <xf numFmtId="0" fontId="0" fillId="4" borderId="0" xfId="0" applyFont="1" applyFill="1" applyAlignment="1" applyProtection="1">
      <protection hidden="1"/>
    </xf>
    <xf numFmtId="0" fontId="1" fillId="4" borderId="0" xfId="0" applyFont="1" applyFill="1" applyAlignment="1" applyProtection="1">
      <protection hidden="1"/>
    </xf>
    <xf numFmtId="0" fontId="9" fillId="4" borderId="0" xfId="0" applyFont="1" applyFill="1" applyAlignment="1" applyProtection="1">
      <alignment horizontal="left" vertical="top"/>
      <protection hidden="1"/>
    </xf>
    <xf numFmtId="0" fontId="0" fillId="0" borderId="0" xfId="0" applyAlignment="1" applyProtection="1">
      <protection hidden="1"/>
    </xf>
    <xf numFmtId="0" fontId="0" fillId="2" borderId="0" xfId="0" applyFont="1" applyFill="1" applyBorder="1" applyAlignment="1" applyProtection="1">
      <protection hidden="1"/>
    </xf>
    <xf numFmtId="0" fontId="38" fillId="2" borderId="0" xfId="0" applyFont="1" applyFill="1" applyBorder="1" applyAlignment="1" applyProtection="1">
      <protection hidden="1"/>
    </xf>
    <xf numFmtId="0" fontId="0" fillId="4" borderId="0" xfId="0" applyFont="1" applyFill="1" applyBorder="1" applyAlignment="1" applyProtection="1">
      <protection hidden="1"/>
    </xf>
    <xf numFmtId="0" fontId="57" fillId="2" borderId="0" xfId="0" applyFont="1" applyFill="1" applyBorder="1" applyAlignment="1" applyProtection="1">
      <alignment horizontal="left"/>
      <protection hidden="1"/>
    </xf>
    <xf numFmtId="0" fontId="3" fillId="4" borderId="0" xfId="0" applyFont="1" applyFill="1" applyAlignment="1" applyProtection="1">
      <protection hidden="1"/>
    </xf>
    <xf numFmtId="0" fontId="23" fillId="5" borderId="14" xfId="0" applyFont="1" applyFill="1" applyBorder="1" applyAlignment="1" applyProtection="1">
      <alignment horizontal="left" vertical="center"/>
      <protection hidden="1"/>
    </xf>
    <xf numFmtId="0" fontId="15" fillId="4" borderId="0" xfId="0" applyFont="1" applyFill="1" applyAlignment="1" applyProtection="1">
      <protection hidden="1"/>
    </xf>
    <xf numFmtId="0" fontId="24" fillId="2" borderId="0" xfId="0" applyFont="1" applyFill="1" applyAlignment="1" applyProtection="1">
      <protection hidden="1"/>
    </xf>
    <xf numFmtId="0" fontId="0" fillId="2" borderId="0" xfId="0" applyFill="1" applyBorder="1" applyAlignment="1" applyProtection="1">
      <alignment horizontal="left" vertical="top"/>
      <protection hidden="1"/>
    </xf>
    <xf numFmtId="0" fontId="23" fillId="4" borderId="0" xfId="0" applyFont="1" applyFill="1" applyAlignment="1" applyProtection="1">
      <protection hidden="1"/>
    </xf>
    <xf numFmtId="0" fontId="12" fillId="2" borderId="0" xfId="0" applyFont="1" applyFill="1" applyAlignment="1" applyProtection="1">
      <alignment horizontal="center"/>
      <protection hidden="1"/>
    </xf>
    <xf numFmtId="0" fontId="17" fillId="2" borderId="0" xfId="0" applyFont="1" applyFill="1" applyAlignment="1" applyProtection="1">
      <alignment horizontal="left" vertical="top"/>
      <protection hidden="1"/>
    </xf>
    <xf numFmtId="0" fontId="14" fillId="2" borderId="0" xfId="0" applyFont="1" applyFill="1" applyAlignment="1" applyProtection="1">
      <alignment vertical="center" wrapText="1"/>
      <protection hidden="1"/>
    </xf>
    <xf numFmtId="0" fontId="58" fillId="2" borderId="0" xfId="0" applyFont="1" applyFill="1" applyProtection="1">
      <protection hidden="1"/>
    </xf>
    <xf numFmtId="0" fontId="58" fillId="4" borderId="0" xfId="0" applyFont="1" applyFill="1"/>
    <xf numFmtId="0" fontId="59" fillId="3" borderId="0" xfId="0" applyFont="1" applyFill="1" applyBorder="1" applyAlignment="1" applyProtection="1">
      <alignment horizontal="left" vertical="top"/>
      <protection hidden="1"/>
    </xf>
    <xf numFmtId="0" fontId="60" fillId="3" borderId="0" xfId="0" applyFont="1" applyFill="1" applyBorder="1" applyProtection="1">
      <protection hidden="1"/>
    </xf>
    <xf numFmtId="0" fontId="59" fillId="3" borderId="0" xfId="0" applyFont="1" applyFill="1" applyBorder="1" applyAlignment="1" applyProtection="1">
      <alignment vertical="top"/>
      <protection hidden="1"/>
    </xf>
    <xf numFmtId="0" fontId="61" fillId="2" borderId="0" xfId="0" applyFont="1" applyFill="1" applyAlignment="1" applyProtection="1">
      <alignment horizontal="left" vertical="center"/>
      <protection hidden="1"/>
    </xf>
    <xf numFmtId="0" fontId="62" fillId="2" borderId="0" xfId="0" applyFont="1" applyFill="1" applyAlignment="1" applyProtection="1">
      <alignment horizontal="right"/>
      <protection hidden="1"/>
    </xf>
    <xf numFmtId="0" fontId="63" fillId="4" borderId="1" xfId="0" applyFont="1" applyFill="1" applyBorder="1" applyAlignment="1" applyProtection="1">
      <alignment horizontal="left"/>
      <protection hidden="1"/>
    </xf>
    <xf numFmtId="0" fontId="64" fillId="2" borderId="1" xfId="0" applyFont="1" applyFill="1" applyBorder="1" applyProtection="1">
      <protection hidden="1"/>
    </xf>
    <xf numFmtId="0" fontId="65" fillId="2" borderId="1" xfId="0" applyFont="1" applyFill="1" applyBorder="1" applyProtection="1">
      <protection hidden="1"/>
    </xf>
    <xf numFmtId="0" fontId="66" fillId="3" borderId="6" xfId="0" applyFont="1" applyFill="1" applyBorder="1" applyProtection="1">
      <protection hidden="1"/>
    </xf>
    <xf numFmtId="0" fontId="67" fillId="3" borderId="6" xfId="0" applyFont="1" applyFill="1" applyBorder="1" applyAlignment="1" applyProtection="1">
      <alignment horizontal="right" vertical="center"/>
      <protection hidden="1"/>
    </xf>
    <xf numFmtId="0" fontId="65" fillId="5" borderId="6" xfId="0" applyFont="1" applyFill="1" applyBorder="1" applyAlignment="1" applyProtection="1">
      <alignment horizontal="left" vertical="center"/>
      <protection hidden="1"/>
    </xf>
    <xf numFmtId="0" fontId="58" fillId="5" borderId="6" xfId="0" applyFont="1" applyFill="1" applyBorder="1" applyProtection="1">
      <protection hidden="1"/>
    </xf>
    <xf numFmtId="0" fontId="58" fillId="5" borderId="7" xfId="0" applyFont="1" applyFill="1" applyBorder="1" applyProtection="1">
      <protection hidden="1"/>
    </xf>
    <xf numFmtId="0" fontId="58" fillId="5" borderId="4" xfId="0" applyFont="1" applyFill="1" applyBorder="1" applyAlignment="1" applyProtection="1">
      <alignment horizontal="right"/>
      <protection hidden="1"/>
    </xf>
    <xf numFmtId="0" fontId="58" fillId="5" borderId="6" xfId="0" applyFont="1" applyFill="1" applyBorder="1" applyAlignment="1" applyProtection="1">
      <alignment horizontal="right"/>
      <protection hidden="1"/>
    </xf>
    <xf numFmtId="14" fontId="58" fillId="5" borderId="7" xfId="0" applyNumberFormat="1" applyFont="1" applyFill="1" applyBorder="1" applyAlignment="1" applyProtection="1">
      <alignment horizontal="left"/>
      <protection hidden="1"/>
    </xf>
    <xf numFmtId="0" fontId="66" fillId="4" borderId="0" xfId="0" applyFont="1" applyFill="1" applyBorder="1" applyProtection="1">
      <protection hidden="1"/>
    </xf>
    <xf numFmtId="0" fontId="67" fillId="4" borderId="0" xfId="0" applyFont="1" applyFill="1" applyBorder="1" applyAlignment="1" applyProtection="1">
      <alignment horizontal="right" vertical="center"/>
      <protection hidden="1"/>
    </xf>
    <xf numFmtId="0" fontId="58" fillId="4" borderId="0" xfId="0" applyFont="1" applyFill="1" applyProtection="1">
      <protection hidden="1"/>
    </xf>
    <xf numFmtId="0" fontId="67" fillId="3" borderId="102" xfId="0" applyFont="1" applyFill="1" applyBorder="1" applyProtection="1">
      <protection hidden="1"/>
    </xf>
    <xf numFmtId="0" fontId="67" fillId="3" borderId="107" xfId="0" applyFont="1" applyFill="1" applyBorder="1" applyAlignment="1" applyProtection="1">
      <alignment horizontal="right" vertical="center"/>
      <protection hidden="1"/>
    </xf>
    <xf numFmtId="0" fontId="71" fillId="4" borderId="0" xfId="0" applyFont="1" applyFill="1" applyAlignment="1" applyProtection="1">
      <alignment horizontal="left" vertical="top" wrapText="1"/>
      <protection hidden="1"/>
    </xf>
    <xf numFmtId="0" fontId="67" fillId="3" borderId="45" xfId="0" applyFont="1" applyFill="1" applyBorder="1" applyProtection="1">
      <protection hidden="1"/>
    </xf>
    <xf numFmtId="0" fontId="67" fillId="3" borderId="110" xfId="0" applyFont="1" applyFill="1" applyBorder="1" applyAlignment="1" applyProtection="1">
      <alignment horizontal="right" vertical="center"/>
      <protection hidden="1"/>
    </xf>
    <xf numFmtId="0" fontId="67" fillId="3" borderId="27" xfId="0" applyFont="1" applyFill="1" applyBorder="1" applyProtection="1">
      <protection hidden="1"/>
    </xf>
    <xf numFmtId="0" fontId="67" fillId="3" borderId="104" xfId="0" applyFont="1" applyFill="1" applyBorder="1" applyAlignment="1" applyProtection="1">
      <alignment horizontal="right" vertical="center"/>
      <protection hidden="1"/>
    </xf>
    <xf numFmtId="0" fontId="67" fillId="3" borderId="103" xfId="0" applyFont="1" applyFill="1" applyBorder="1" applyProtection="1">
      <protection hidden="1"/>
    </xf>
    <xf numFmtId="0" fontId="58" fillId="2" borderId="11" xfId="0" applyFont="1" applyFill="1" applyBorder="1" applyAlignment="1" applyProtection="1">
      <protection hidden="1"/>
    </xf>
    <xf numFmtId="0" fontId="58" fillId="2" borderId="0" xfId="0" applyFont="1" applyFill="1" applyBorder="1" applyAlignment="1" applyProtection="1">
      <protection hidden="1"/>
    </xf>
    <xf numFmtId="0" fontId="58" fillId="2" borderId="53" xfId="0" applyFont="1" applyFill="1" applyBorder="1" applyProtection="1">
      <protection hidden="1"/>
    </xf>
    <xf numFmtId="0" fontId="58" fillId="4" borderId="54" xfId="0" applyFont="1" applyFill="1" applyBorder="1"/>
    <xf numFmtId="0" fontId="58" fillId="4" borderId="55" xfId="0" applyFont="1" applyFill="1" applyBorder="1"/>
    <xf numFmtId="0" fontId="58" fillId="2" borderId="56" xfId="0" applyFont="1" applyFill="1" applyBorder="1" applyProtection="1">
      <protection hidden="1"/>
    </xf>
    <xf numFmtId="9" fontId="58" fillId="4" borderId="2" xfId="0" applyNumberFormat="1" applyFont="1" applyFill="1" applyBorder="1"/>
    <xf numFmtId="9" fontId="58" fillId="4" borderId="57" xfId="0" applyNumberFormat="1" applyFont="1" applyFill="1" applyBorder="1"/>
    <xf numFmtId="0" fontId="58" fillId="2" borderId="58" xfId="0" applyFont="1" applyFill="1" applyBorder="1" applyProtection="1">
      <protection hidden="1"/>
    </xf>
    <xf numFmtId="9" fontId="58" fillId="4" borderId="59" xfId="0" applyNumberFormat="1" applyFont="1" applyFill="1" applyBorder="1"/>
    <xf numFmtId="9" fontId="58" fillId="4" borderId="60" xfId="0" applyNumberFormat="1" applyFont="1" applyFill="1" applyBorder="1"/>
    <xf numFmtId="0" fontId="72" fillId="2" borderId="15" xfId="0" applyFont="1" applyFill="1" applyBorder="1" applyAlignment="1" applyProtection="1">
      <alignment horizontal="center" wrapText="1"/>
      <protection hidden="1"/>
    </xf>
    <xf numFmtId="0" fontId="73" fillId="2" borderId="14" xfId="0" applyFont="1" applyFill="1" applyBorder="1" applyAlignment="1" applyProtection="1">
      <alignment horizontal="left"/>
      <protection hidden="1"/>
    </xf>
    <xf numFmtId="0" fontId="68" fillId="2" borderId="1" xfId="0" applyFont="1" applyFill="1" applyBorder="1" applyAlignment="1" applyProtection="1">
      <alignment horizontal="center" wrapText="1"/>
      <protection hidden="1"/>
    </xf>
    <xf numFmtId="0" fontId="68" fillId="2" borderId="13" xfId="0" applyFont="1" applyFill="1" applyBorder="1" applyAlignment="1" applyProtection="1">
      <alignment horizontal="center" wrapText="1"/>
      <protection hidden="1"/>
    </xf>
    <xf numFmtId="0" fontId="68" fillId="2" borderId="14" xfId="0" applyFont="1" applyFill="1" applyBorder="1" applyAlignment="1" applyProtection="1">
      <alignment horizontal="center" wrapText="1"/>
      <protection hidden="1"/>
    </xf>
    <xf numFmtId="0" fontId="72" fillId="2" borderId="5" xfId="0" applyFont="1" applyFill="1" applyBorder="1" applyAlignment="1" applyProtection="1">
      <alignment horizontal="center" wrapText="1"/>
      <protection hidden="1"/>
    </xf>
    <xf numFmtId="0" fontId="68" fillId="2" borderId="5" xfId="0" applyFont="1" applyFill="1" applyBorder="1" applyAlignment="1" applyProtection="1">
      <alignment horizontal="center" vertical="top" wrapText="1"/>
      <protection hidden="1"/>
    </xf>
    <xf numFmtId="0" fontId="67" fillId="3" borderId="25" xfId="0" applyFont="1" applyFill="1" applyBorder="1" applyAlignment="1" applyProtection="1">
      <alignment horizontal="left" vertical="center"/>
      <protection hidden="1"/>
    </xf>
    <xf numFmtId="0" fontId="65" fillId="5" borderId="31" xfId="0" applyFont="1" applyFill="1" applyBorder="1" applyAlignment="1" applyProtection="1">
      <alignment horizontal="center" vertical="center"/>
      <protection hidden="1"/>
    </xf>
    <xf numFmtId="0" fontId="65" fillId="5" borderId="32" xfId="0" applyFont="1" applyFill="1" applyBorder="1" applyAlignment="1" applyProtection="1">
      <alignment horizontal="center" vertical="center"/>
      <protection hidden="1"/>
    </xf>
    <xf numFmtId="9" fontId="65" fillId="5" borderId="30" xfId="2" applyNumberFormat="1" applyFont="1" applyFill="1" applyBorder="1" applyAlignment="1" applyProtection="1">
      <alignment horizontal="center" vertical="center"/>
      <protection hidden="1"/>
    </xf>
    <xf numFmtId="9" fontId="65" fillId="5" borderId="31" xfId="2" applyNumberFormat="1" applyFont="1" applyFill="1" applyBorder="1" applyAlignment="1" applyProtection="1">
      <alignment horizontal="center" vertical="center"/>
      <protection hidden="1"/>
    </xf>
    <xf numFmtId="0" fontId="58" fillId="4" borderId="108" xfId="0" applyFont="1" applyFill="1" applyBorder="1"/>
    <xf numFmtId="0" fontId="58" fillId="4" borderId="77" xfId="0" applyFont="1" applyFill="1" applyBorder="1"/>
    <xf numFmtId="0" fontId="67" fillId="3" borderId="24" xfId="0" applyFont="1" applyFill="1" applyBorder="1" applyAlignment="1" applyProtection="1">
      <alignment horizontal="left" vertical="center"/>
      <protection hidden="1"/>
    </xf>
    <xf numFmtId="0" fontId="65" fillId="5" borderId="26" xfId="0" applyFont="1" applyFill="1" applyBorder="1" applyAlignment="1" applyProtection="1">
      <alignment horizontal="center" vertical="center"/>
      <protection hidden="1"/>
    </xf>
    <xf numFmtId="0" fontId="65" fillId="5" borderId="33" xfId="0" applyFont="1" applyFill="1" applyBorder="1" applyAlignment="1" applyProtection="1">
      <alignment horizontal="center" vertical="center"/>
      <protection hidden="1"/>
    </xf>
    <xf numFmtId="9" fontId="65" fillId="5" borderId="29" xfId="2" applyNumberFormat="1" applyFont="1" applyFill="1" applyBorder="1" applyAlignment="1" applyProtection="1">
      <alignment horizontal="center" vertical="center"/>
      <protection hidden="1"/>
    </xf>
    <xf numFmtId="0" fontId="58" fillId="4" borderId="109" xfId="0" applyFont="1" applyFill="1" applyBorder="1"/>
    <xf numFmtId="0" fontId="58" fillId="4" borderId="56" xfId="0" applyFont="1" applyFill="1" applyBorder="1"/>
    <xf numFmtId="0" fontId="58" fillId="4" borderId="2" xfId="0" applyFont="1" applyFill="1" applyBorder="1"/>
    <xf numFmtId="0" fontId="58" fillId="4" borderId="57" xfId="0" applyFont="1" applyFill="1" applyBorder="1"/>
    <xf numFmtId="0" fontId="74" fillId="4" borderId="0" xfId="0" applyFont="1" applyFill="1"/>
    <xf numFmtId="164" fontId="65" fillId="5" borderId="28" xfId="2" applyNumberFormat="1" applyFont="1" applyFill="1" applyBorder="1" applyAlignment="1" applyProtection="1">
      <alignment horizontal="center" vertical="center"/>
      <protection hidden="1"/>
    </xf>
    <xf numFmtId="0" fontId="66" fillId="3" borderId="24" xfId="0" applyFont="1" applyFill="1" applyBorder="1" applyAlignment="1" applyProtection="1">
      <alignment horizontal="left" vertical="center"/>
      <protection hidden="1"/>
    </xf>
    <xf numFmtId="0" fontId="64" fillId="5" borderId="26" xfId="0" applyFont="1" applyFill="1" applyBorder="1" applyAlignment="1" applyProtection="1">
      <alignment horizontal="center" vertical="center"/>
      <protection hidden="1"/>
    </xf>
    <xf numFmtId="0" fontId="64" fillId="5" borderId="33" xfId="0" applyFont="1" applyFill="1" applyBorder="1" applyAlignment="1" applyProtection="1">
      <alignment horizontal="center" vertical="center"/>
      <protection hidden="1"/>
    </xf>
    <xf numFmtId="164" fontId="65" fillId="5" borderId="29" xfId="2" applyNumberFormat="1" applyFont="1" applyFill="1" applyBorder="1" applyAlignment="1" applyProtection="1">
      <alignment horizontal="center" vertical="center"/>
      <protection hidden="1"/>
    </xf>
    <xf numFmtId="0" fontId="64" fillId="5" borderId="28" xfId="0" applyFont="1" applyFill="1" applyBorder="1" applyAlignment="1" applyProtection="1">
      <alignment horizontal="center" vertical="center"/>
      <protection hidden="1"/>
    </xf>
    <xf numFmtId="164" fontId="65" fillId="5" borderId="26" xfId="2" applyNumberFormat="1" applyFont="1" applyFill="1" applyBorder="1" applyAlignment="1" applyProtection="1">
      <alignment horizontal="center" vertical="center"/>
      <protection hidden="1"/>
    </xf>
    <xf numFmtId="164" fontId="64" fillId="5" borderId="24" xfId="2" applyNumberFormat="1" applyFont="1" applyFill="1" applyBorder="1" applyAlignment="1" applyProtection="1">
      <alignment horizontal="center" vertical="center"/>
      <protection hidden="1"/>
    </xf>
    <xf numFmtId="164" fontId="64" fillId="5" borderId="29" xfId="2" applyNumberFormat="1" applyFont="1" applyFill="1" applyBorder="1" applyAlignment="1" applyProtection="1">
      <alignment horizontal="center" vertical="center"/>
      <protection hidden="1"/>
    </xf>
    <xf numFmtId="0" fontId="67" fillId="3" borderId="27" xfId="0" applyFont="1" applyFill="1" applyBorder="1" applyAlignment="1" applyProtection="1">
      <alignment horizontal="left" vertical="center"/>
      <protection hidden="1"/>
    </xf>
    <xf numFmtId="0" fontId="67" fillId="3" borderId="27" xfId="0" applyFont="1" applyFill="1" applyBorder="1" applyAlignment="1" applyProtection="1">
      <alignment horizontal="right" vertical="center"/>
      <protection hidden="1"/>
    </xf>
    <xf numFmtId="164" fontId="65" fillId="5" borderId="24" xfId="2" applyNumberFormat="1" applyFont="1" applyFill="1" applyBorder="1" applyAlignment="1" applyProtection="1">
      <alignment horizontal="center" vertical="center"/>
      <protection hidden="1"/>
    </xf>
    <xf numFmtId="0" fontId="75" fillId="2" borderId="0" xfId="0" applyFont="1" applyFill="1" applyAlignment="1" applyProtection="1">
      <alignment horizontal="center" wrapText="1"/>
      <protection hidden="1"/>
    </xf>
    <xf numFmtId="0" fontId="76" fillId="2" borderId="0" xfId="0" applyFont="1" applyFill="1" applyAlignment="1" applyProtection="1">
      <alignment horizontal="center" wrapText="1"/>
      <protection hidden="1"/>
    </xf>
    <xf numFmtId="0" fontId="77" fillId="2" borderId="0" xfId="0" applyFont="1" applyFill="1" applyAlignment="1" applyProtection="1">
      <alignment horizontal="left" vertical="top" wrapText="1"/>
      <protection hidden="1"/>
    </xf>
    <xf numFmtId="0" fontId="78" fillId="4" borderId="0" xfId="0" applyFont="1" applyFill="1" applyProtection="1">
      <protection hidden="1"/>
    </xf>
    <xf numFmtId="0" fontId="79" fillId="4" borderId="0" xfId="0" applyFont="1" applyFill="1" applyProtection="1">
      <protection hidden="1"/>
    </xf>
    <xf numFmtId="0" fontId="58" fillId="2" borderId="1" xfId="0" applyFont="1" applyFill="1" applyBorder="1" applyProtection="1">
      <protection hidden="1"/>
    </xf>
    <xf numFmtId="0" fontId="80" fillId="4" borderId="0" xfId="0" applyFont="1" applyFill="1" applyProtection="1">
      <protection hidden="1"/>
    </xf>
    <xf numFmtId="0" fontId="81" fillId="2" borderId="21" xfId="0" applyFont="1" applyFill="1" applyBorder="1" applyProtection="1">
      <protection hidden="1"/>
    </xf>
    <xf numFmtId="0" fontId="81" fillId="2" borderId="22" xfId="0" applyFont="1" applyFill="1" applyBorder="1" applyProtection="1">
      <protection hidden="1"/>
    </xf>
    <xf numFmtId="10" fontId="81" fillId="2" borderId="23" xfId="0" applyNumberFormat="1" applyFont="1" applyFill="1" applyBorder="1" applyProtection="1">
      <protection hidden="1"/>
    </xf>
    <xf numFmtId="0" fontId="81" fillId="2" borderId="16" xfId="0" applyFont="1" applyFill="1" applyBorder="1" applyProtection="1">
      <protection hidden="1"/>
    </xf>
    <xf numFmtId="0" fontId="81" fillId="2" borderId="0" xfId="0" applyFont="1" applyFill="1" applyBorder="1" applyProtection="1">
      <protection hidden="1"/>
    </xf>
    <xf numFmtId="10" fontId="81" fillId="2" borderId="17" xfId="0" applyNumberFormat="1" applyFont="1" applyFill="1" applyBorder="1" applyProtection="1">
      <protection hidden="1"/>
    </xf>
    <xf numFmtId="0" fontId="81" fillId="2" borderId="18" xfId="0" applyFont="1" applyFill="1" applyBorder="1" applyProtection="1">
      <protection hidden="1"/>
    </xf>
    <xf numFmtId="0" fontId="81" fillId="2" borderId="19" xfId="0" applyFont="1" applyFill="1" applyBorder="1" applyProtection="1">
      <protection hidden="1"/>
    </xf>
    <xf numFmtId="10" fontId="81" fillId="2" borderId="20" xfId="0" applyNumberFormat="1" applyFont="1" applyFill="1" applyBorder="1" applyProtection="1">
      <protection hidden="1"/>
    </xf>
    <xf numFmtId="0" fontId="82" fillId="3" borderId="1" xfId="0" applyFont="1" applyFill="1" applyBorder="1" applyAlignment="1" applyProtection="1">
      <alignment vertical="top"/>
      <protection hidden="1"/>
    </xf>
    <xf numFmtId="0" fontId="82" fillId="3" borderId="41" xfId="0" applyFont="1" applyFill="1" applyBorder="1" applyAlignment="1" applyProtection="1">
      <alignment horizontal="left" vertical="top"/>
      <protection hidden="1"/>
    </xf>
    <xf numFmtId="0" fontId="0" fillId="0" borderId="0" xfId="0" applyProtection="1">
      <protection hidden="1"/>
    </xf>
    <xf numFmtId="0" fontId="31" fillId="3" borderId="0" xfId="0" applyFont="1" applyFill="1" applyBorder="1" applyAlignment="1" applyProtection="1">
      <alignment vertical="top"/>
      <protection hidden="1"/>
    </xf>
    <xf numFmtId="0" fontId="31" fillId="3" borderId="0" xfId="0" applyFont="1" applyFill="1" applyBorder="1" applyAlignment="1" applyProtection="1">
      <alignment vertical="top" wrapText="1"/>
      <protection hidden="1"/>
    </xf>
    <xf numFmtId="0" fontId="14" fillId="4" borderId="0" xfId="0" applyFont="1" applyFill="1" applyAlignment="1" applyProtection="1">
      <alignment vertical="center" wrapText="1"/>
      <protection hidden="1"/>
    </xf>
    <xf numFmtId="0" fontId="46" fillId="2" borderId="0" xfId="0" applyFont="1" applyFill="1" applyAlignment="1" applyProtection="1">
      <alignment horizontal="right"/>
      <protection hidden="1"/>
    </xf>
    <xf numFmtId="0" fontId="25" fillId="4" borderId="1" xfId="0" applyFont="1" applyFill="1" applyBorder="1" applyAlignment="1" applyProtection="1">
      <alignment horizontal="left"/>
      <protection hidden="1"/>
    </xf>
    <xf numFmtId="0" fontId="7" fillId="3" borderId="132" xfId="0" applyFont="1" applyFill="1" applyBorder="1" applyAlignment="1" applyProtection="1">
      <alignment horizontal="right" vertical="center"/>
      <protection hidden="1"/>
    </xf>
    <xf numFmtId="0" fontId="1" fillId="4" borderId="2" xfId="0" applyFont="1" applyFill="1" applyBorder="1" applyAlignment="1" applyProtection="1">
      <alignment vertical="center" wrapText="1"/>
      <protection locked="0" hidden="1"/>
    </xf>
    <xf numFmtId="0" fontId="7" fillId="3" borderId="100" xfId="0" applyFont="1" applyFill="1" applyBorder="1" applyAlignment="1" applyProtection="1">
      <alignment horizontal="right" vertical="center"/>
      <protection hidden="1"/>
    </xf>
    <xf numFmtId="0" fontId="7" fillId="3" borderId="130" xfId="0" applyFont="1" applyFill="1" applyBorder="1" applyAlignment="1" applyProtection="1">
      <alignment horizontal="right" vertical="center"/>
      <protection hidden="1"/>
    </xf>
    <xf numFmtId="0" fontId="7" fillId="3" borderId="101" xfId="0" applyFont="1" applyFill="1" applyBorder="1" applyAlignment="1" applyProtection="1">
      <alignment horizontal="right" vertical="center"/>
      <protection hidden="1"/>
    </xf>
    <xf numFmtId="0" fontId="1" fillId="0" borderId="2" xfId="0" applyFont="1" applyFill="1" applyBorder="1" applyAlignment="1" applyProtection="1">
      <alignment vertical="center" wrapText="1"/>
      <protection locked="0" hidden="1"/>
    </xf>
    <xf numFmtId="0" fontId="9" fillId="0" borderId="2" xfId="0" applyFont="1" applyFill="1" applyBorder="1" applyAlignment="1" applyProtection="1">
      <alignment vertical="center" wrapText="1"/>
      <protection locked="0" hidden="1"/>
    </xf>
    <xf numFmtId="0" fontId="7" fillId="3" borderId="131" xfId="0" applyFont="1" applyFill="1" applyBorder="1" applyAlignment="1" applyProtection="1">
      <alignment horizontal="right" vertical="center"/>
      <protection hidden="1"/>
    </xf>
    <xf numFmtId="0" fontId="7" fillId="3" borderId="114" xfId="0" applyFont="1" applyFill="1" applyBorder="1" applyAlignment="1" applyProtection="1">
      <alignment horizontal="right" vertical="center"/>
      <protection hidden="1"/>
    </xf>
    <xf numFmtId="0" fontId="7" fillId="3" borderId="9" xfId="0" applyFont="1" applyFill="1" applyBorder="1" applyAlignment="1" applyProtection="1">
      <alignment horizontal="right" vertical="center"/>
      <protection hidden="1"/>
    </xf>
    <xf numFmtId="0" fontId="7" fillId="3" borderId="133" xfId="0" applyFont="1" applyFill="1" applyBorder="1" applyAlignment="1" applyProtection="1">
      <alignment horizontal="right" vertical="top"/>
      <protection hidden="1"/>
    </xf>
    <xf numFmtId="0" fontId="8" fillId="3" borderId="15" xfId="0" applyFont="1" applyFill="1" applyBorder="1" applyAlignment="1" applyProtection="1">
      <alignment horizontal="right" vertical="top"/>
      <protection hidden="1"/>
    </xf>
    <xf numFmtId="0" fontId="1" fillId="0" borderId="15" xfId="0" applyFont="1" applyFill="1" applyBorder="1" applyAlignment="1" applyProtection="1">
      <alignment vertical="center" wrapText="1"/>
      <protection locked="0" hidden="1"/>
    </xf>
    <xf numFmtId="0" fontId="0" fillId="0" borderId="0" xfId="0" applyFill="1" applyProtection="1">
      <protection locked="0" hidden="1"/>
    </xf>
    <xf numFmtId="0" fontId="8" fillId="3" borderId="15" xfId="0" applyFont="1" applyFill="1" applyBorder="1" applyAlignment="1" applyProtection="1">
      <alignment horizontal="left" vertical="center" wrapText="1"/>
      <protection hidden="1"/>
    </xf>
    <xf numFmtId="0" fontId="7" fillId="3" borderId="134" xfId="0" applyFont="1" applyFill="1" applyBorder="1" applyAlignment="1" applyProtection="1">
      <alignment horizontal="right" vertical="top"/>
      <protection hidden="1"/>
    </xf>
    <xf numFmtId="0" fontId="7" fillId="3" borderId="132" xfId="0" applyFont="1" applyFill="1" applyBorder="1" applyAlignment="1" applyProtection="1">
      <alignment horizontal="right" vertical="top"/>
      <protection hidden="1"/>
    </xf>
    <xf numFmtId="0" fontId="7" fillId="3" borderId="130" xfId="0" applyFont="1" applyFill="1" applyBorder="1" applyAlignment="1" applyProtection="1">
      <alignment horizontal="right" vertical="top"/>
      <protection hidden="1"/>
    </xf>
    <xf numFmtId="0" fontId="7" fillId="3" borderId="101" xfId="0" applyFont="1" applyFill="1" applyBorder="1" applyAlignment="1" applyProtection="1">
      <alignment horizontal="right" vertical="center" wrapText="1"/>
      <protection hidden="1"/>
    </xf>
    <xf numFmtId="0" fontId="0" fillId="8" borderId="2" xfId="0" applyFont="1" applyFill="1" applyBorder="1" applyProtection="1">
      <protection hidden="1"/>
    </xf>
    <xf numFmtId="0" fontId="7" fillId="3" borderId="100" xfId="0" applyFont="1" applyFill="1" applyBorder="1" applyAlignment="1" applyProtection="1">
      <alignment horizontal="right" wrapText="1"/>
      <protection hidden="1"/>
    </xf>
    <xf numFmtId="0" fontId="1" fillId="0" borderId="2" xfId="0" applyFont="1" applyFill="1" applyBorder="1" applyAlignment="1" applyProtection="1">
      <alignment vertical="center" wrapText="1"/>
      <protection hidden="1"/>
    </xf>
    <xf numFmtId="0" fontId="7" fillId="3" borderId="131" xfId="0" applyFont="1" applyFill="1" applyBorder="1" applyAlignment="1" applyProtection="1">
      <alignment horizontal="right" vertical="top" wrapText="1"/>
      <protection hidden="1"/>
    </xf>
    <xf numFmtId="0" fontId="7" fillId="3" borderId="114" xfId="0" applyFont="1" applyFill="1" applyBorder="1" applyAlignment="1" applyProtection="1">
      <alignment horizontal="right" vertical="center" wrapText="1"/>
      <protection hidden="1"/>
    </xf>
    <xf numFmtId="0" fontId="25" fillId="4" borderId="0" xfId="0" applyFont="1" applyFill="1" applyBorder="1" applyAlignment="1" applyProtection="1">
      <alignment horizontal="left"/>
      <protection hidden="1"/>
    </xf>
    <xf numFmtId="0" fontId="0" fillId="2" borderId="1" xfId="0" applyFont="1" applyFill="1" applyBorder="1" applyProtection="1">
      <protection hidden="1"/>
    </xf>
    <xf numFmtId="0" fontId="46" fillId="2" borderId="1" xfId="0" applyFont="1" applyFill="1" applyBorder="1" applyAlignment="1" applyProtection="1">
      <alignment horizontal="right"/>
      <protection hidden="1"/>
    </xf>
    <xf numFmtId="0" fontId="35" fillId="4" borderId="0" xfId="0" applyFont="1" applyFill="1" applyBorder="1" applyAlignment="1" applyProtection="1">
      <alignment horizontal="left" vertical="top" wrapText="1"/>
      <protection hidden="1"/>
    </xf>
    <xf numFmtId="0" fontId="0" fillId="0" borderId="0" xfId="0" applyFont="1" applyAlignment="1" applyProtection="1">
      <alignment horizontal="right"/>
      <protection hidden="1"/>
    </xf>
    <xf numFmtId="0" fontId="0" fillId="2" borderId="0" xfId="0" applyFont="1" applyFill="1" applyProtection="1">
      <protection locked="0" hidden="1"/>
    </xf>
    <xf numFmtId="0" fontId="9" fillId="2" borderId="0" xfId="0" applyFont="1" applyFill="1" applyProtection="1">
      <protection locked="0" hidden="1"/>
    </xf>
    <xf numFmtId="0" fontId="33" fillId="2" borderId="0" xfId="0" applyFont="1" applyFill="1" applyProtection="1">
      <protection locked="0" hidden="1"/>
    </xf>
    <xf numFmtId="0" fontId="0" fillId="2" borderId="0" xfId="0" applyFont="1" applyFill="1" applyAlignment="1" applyProtection="1">
      <alignment horizontal="right"/>
      <protection hidden="1"/>
    </xf>
    <xf numFmtId="0" fontId="9" fillId="2" borderId="0" xfId="0" applyFont="1" applyFill="1" applyAlignment="1" applyProtection="1">
      <alignment vertical="top" wrapText="1"/>
      <protection locked="0" hidden="1"/>
    </xf>
    <xf numFmtId="0" fontId="17" fillId="2" borderId="1" xfId="0" applyFont="1" applyFill="1" applyBorder="1" applyAlignment="1" applyProtection="1">
      <alignment vertical="top" wrapText="1"/>
      <protection hidden="1"/>
    </xf>
    <xf numFmtId="0" fontId="0" fillId="8" borderId="53" xfId="0" applyFill="1" applyBorder="1" applyProtection="1">
      <protection hidden="1"/>
    </xf>
    <xf numFmtId="0" fontId="0" fillId="7" borderId="56" xfId="0" applyFill="1" applyBorder="1" applyProtection="1">
      <protection hidden="1"/>
    </xf>
    <xf numFmtId="0" fontId="13" fillId="2" borderId="0" xfId="0" applyFont="1" applyFill="1" applyAlignment="1" applyProtection="1">
      <alignment vertical="top" wrapText="1"/>
      <protection hidden="1"/>
    </xf>
    <xf numFmtId="0" fontId="0" fillId="9" borderId="56" xfId="0" applyFill="1" applyBorder="1" applyProtection="1">
      <protection hidden="1"/>
    </xf>
    <xf numFmtId="0" fontId="47" fillId="2" borderId="1" xfId="0" applyFont="1" applyFill="1" applyBorder="1" applyAlignment="1" applyProtection="1">
      <alignment horizontal="right" vertical="top" wrapText="1"/>
      <protection hidden="1"/>
    </xf>
    <xf numFmtId="0" fontId="35" fillId="2" borderId="0" xfId="0" applyFont="1" applyFill="1" applyProtection="1">
      <protection hidden="1"/>
    </xf>
    <xf numFmtId="0" fontId="45" fillId="2" borderId="0" xfId="0" applyFont="1" applyFill="1" applyProtection="1">
      <protection hidden="1"/>
    </xf>
    <xf numFmtId="0" fontId="27" fillId="2" borderId="0" xfId="0" applyFont="1" applyFill="1" applyProtection="1">
      <protection hidden="1"/>
    </xf>
    <xf numFmtId="0" fontId="43" fillId="2" borderId="0" xfId="0" applyFont="1" applyFill="1" applyProtection="1">
      <protection hidden="1"/>
    </xf>
    <xf numFmtId="0" fontId="9" fillId="2" borderId="0" xfId="0" applyFont="1" applyFill="1" applyAlignment="1" applyProtection="1">
      <alignment horizontal="right" vertical="center"/>
      <protection hidden="1"/>
    </xf>
    <xf numFmtId="2" fontId="9" fillId="2" borderId="0" xfId="0" applyNumberFormat="1" applyFont="1" applyFill="1" applyAlignment="1" applyProtection="1">
      <alignment horizontal="left" vertical="top"/>
      <protection hidden="1"/>
    </xf>
    <xf numFmtId="14" fontId="9" fillId="2" borderId="0" xfId="0" applyNumberFormat="1" applyFont="1" applyFill="1" applyAlignment="1" applyProtection="1">
      <alignment horizontal="left"/>
      <protection hidden="1"/>
    </xf>
    <xf numFmtId="0" fontId="0" fillId="0" borderId="0" xfId="0" applyFont="1" applyProtection="1">
      <protection hidden="1"/>
    </xf>
    <xf numFmtId="0" fontId="9" fillId="4" borderId="0" xfId="0" applyFont="1" applyFill="1" applyBorder="1" applyAlignment="1" applyProtection="1">
      <alignment vertical="center" wrapText="1"/>
      <protection hidden="1"/>
    </xf>
    <xf numFmtId="0" fontId="32" fillId="2" borderId="125" xfId="0" applyFont="1" applyFill="1" applyBorder="1" applyAlignment="1" applyProtection="1">
      <alignment horizontal="left" vertical="top" wrapText="1"/>
      <protection hidden="1"/>
    </xf>
    <xf numFmtId="0" fontId="32" fillId="2" borderId="0" xfId="0" applyFont="1" applyFill="1" applyBorder="1" applyAlignment="1" applyProtection="1">
      <alignment horizontal="left" vertical="top" wrapText="1"/>
      <protection hidden="1"/>
    </xf>
    <xf numFmtId="0" fontId="57" fillId="5" borderId="124" xfId="0" applyFont="1" applyFill="1" applyBorder="1" applyAlignment="1" applyProtection="1">
      <alignment vertical="center" wrapText="1"/>
      <protection hidden="1"/>
    </xf>
    <xf numFmtId="0" fontId="23" fillId="5" borderId="0" xfId="0" applyFont="1" applyFill="1" applyBorder="1" applyAlignment="1" applyProtection="1">
      <alignment vertical="center" wrapText="1"/>
      <protection hidden="1"/>
    </xf>
    <xf numFmtId="0" fontId="23" fillId="5" borderId="0" xfId="0" applyFont="1" applyFill="1" applyBorder="1" applyAlignment="1" applyProtection="1">
      <alignment horizontal="left" vertical="center" wrapText="1"/>
      <protection hidden="1"/>
    </xf>
    <xf numFmtId="0" fontId="23" fillId="4" borderId="3" xfId="0" applyFont="1" applyFill="1" applyBorder="1" applyAlignment="1" applyProtection="1">
      <alignment vertical="center" wrapText="1"/>
      <protection hidden="1"/>
    </xf>
    <xf numFmtId="0" fontId="0" fillId="4" borderId="3" xfId="0" applyFill="1" applyBorder="1" applyAlignment="1" applyProtection="1">
      <alignment vertical="center" wrapText="1"/>
      <protection hidden="1"/>
    </xf>
    <xf numFmtId="0" fontId="26" fillId="4" borderId="2" xfId="0" applyFont="1" applyFill="1" applyBorder="1" applyAlignment="1" applyProtection="1">
      <alignment horizontal="center" vertical="center" wrapText="1"/>
      <protection hidden="1"/>
    </xf>
    <xf numFmtId="164" fontId="26" fillId="4" borderId="2" xfId="0" applyNumberFormat="1" applyFont="1" applyFill="1" applyBorder="1" applyAlignment="1" applyProtection="1">
      <alignment horizontal="center" vertical="center" wrapText="1"/>
      <protection hidden="1"/>
    </xf>
    <xf numFmtId="0" fontId="0" fillId="4" borderId="2" xfId="0" applyFill="1" applyBorder="1" applyAlignment="1" applyProtection="1">
      <alignment vertical="center" wrapText="1"/>
      <protection hidden="1"/>
    </xf>
    <xf numFmtId="0" fontId="26" fillId="4" borderId="2" xfId="0" applyFont="1" applyFill="1" applyBorder="1" applyAlignment="1" applyProtection="1">
      <alignment horizontal="left" vertical="center" wrapText="1"/>
      <protection hidden="1"/>
    </xf>
    <xf numFmtId="0" fontId="26" fillId="4" borderId="4" xfId="0" applyFont="1" applyFill="1" applyBorder="1" applyAlignment="1" applyProtection="1">
      <alignment horizontal="left" vertical="center" wrapText="1"/>
      <protection hidden="1"/>
    </xf>
    <xf numFmtId="0" fontId="23" fillId="4" borderId="15" xfId="0" applyFont="1" applyFill="1" applyBorder="1" applyAlignment="1" applyProtection="1">
      <alignment vertical="center" wrapText="1"/>
      <protection hidden="1"/>
    </xf>
    <xf numFmtId="0" fontId="26" fillId="4" borderId="7" xfId="0" applyFont="1" applyFill="1" applyBorder="1" applyAlignment="1" applyProtection="1">
      <alignment horizontal="center" vertical="center" wrapText="1"/>
      <protection hidden="1"/>
    </xf>
    <xf numFmtId="0" fontId="0" fillId="4" borderId="15" xfId="0" applyFill="1" applyBorder="1" applyAlignment="1" applyProtection="1">
      <alignment vertical="center" wrapText="1"/>
      <protection hidden="1"/>
    </xf>
    <xf numFmtId="0" fontId="37" fillId="4" borderId="2" xfId="0" applyFont="1" applyFill="1" applyBorder="1" applyAlignment="1" applyProtection="1">
      <alignment horizontal="center" vertical="center" wrapText="1"/>
      <protection hidden="1"/>
    </xf>
    <xf numFmtId="164" fontId="37" fillId="4" borderId="2" xfId="0" applyNumberFormat="1" applyFont="1" applyFill="1" applyBorder="1" applyAlignment="1" applyProtection="1">
      <alignment horizontal="center" vertical="center" wrapText="1"/>
      <protection hidden="1"/>
    </xf>
    <xf numFmtId="0" fontId="37" fillId="4" borderId="7" xfId="0" applyFont="1" applyFill="1" applyBorder="1" applyAlignment="1" applyProtection="1">
      <alignment horizontal="center" vertical="center" wrapText="1"/>
      <protection hidden="1"/>
    </xf>
    <xf numFmtId="0" fontId="0" fillId="2" borderId="0" xfId="0" applyFill="1" applyBorder="1" applyAlignment="1" applyProtection="1">
      <alignment horizontal="left" vertical="center" wrapText="1"/>
      <protection hidden="1"/>
    </xf>
    <xf numFmtId="0" fontId="0" fillId="2" borderId="0" xfId="0" applyFill="1" applyBorder="1" applyAlignment="1" applyProtection="1">
      <alignment vertical="center" wrapText="1"/>
      <protection hidden="1"/>
    </xf>
    <xf numFmtId="0" fontId="57" fillId="5" borderId="128" xfId="0" applyFont="1" applyFill="1" applyBorder="1" applyAlignment="1" applyProtection="1">
      <alignment vertical="center" wrapText="1"/>
      <protection hidden="1"/>
    </xf>
    <xf numFmtId="0" fontId="21" fillId="3" borderId="106" xfId="0" applyFont="1" applyFill="1" applyBorder="1" applyAlignment="1" applyProtection="1">
      <alignment vertical="top"/>
      <protection hidden="1"/>
    </xf>
    <xf numFmtId="0" fontId="20" fillId="3" borderId="106" xfId="0" applyFont="1" applyFill="1" applyBorder="1" applyProtection="1">
      <protection hidden="1"/>
    </xf>
    <xf numFmtId="0" fontId="14" fillId="2" borderId="8" xfId="0" applyFont="1" applyFill="1" applyBorder="1" applyAlignment="1" applyProtection="1">
      <alignment horizontal="left" vertical="center"/>
      <protection hidden="1"/>
    </xf>
    <xf numFmtId="0" fontId="14" fillId="2" borderId="0" xfId="0" applyFont="1" applyFill="1" applyBorder="1" applyAlignment="1" applyProtection="1">
      <alignment horizontal="left" vertical="center" wrapText="1"/>
      <protection hidden="1"/>
    </xf>
    <xf numFmtId="0" fontId="0" fillId="2" borderId="12" xfId="0" applyFill="1" applyBorder="1" applyProtection="1">
      <protection hidden="1"/>
    </xf>
    <xf numFmtId="0" fontId="7" fillId="3" borderId="2" xfId="0" applyFont="1" applyFill="1" applyBorder="1" applyAlignment="1" applyProtection="1">
      <alignment horizontal="center"/>
      <protection hidden="1"/>
    </xf>
    <xf numFmtId="14" fontId="1" fillId="2" borderId="2" xfId="0" applyNumberFormat="1" applyFont="1" applyFill="1" applyBorder="1" applyAlignment="1" applyProtection="1">
      <alignment horizontal="center" vertical="center"/>
      <protection hidden="1"/>
    </xf>
    <xf numFmtId="2" fontId="1" fillId="2" borderId="6" xfId="0" applyNumberFormat="1" applyFont="1" applyFill="1" applyBorder="1" applyAlignment="1" applyProtection="1">
      <alignment horizontal="center" vertical="center"/>
      <protection hidden="1"/>
    </xf>
    <xf numFmtId="0" fontId="1" fillId="2" borderId="6" xfId="0" applyFont="1" applyFill="1" applyBorder="1" applyProtection="1">
      <protection hidden="1"/>
    </xf>
    <xf numFmtId="0" fontId="1" fillId="2" borderId="6" xfId="0" applyFont="1" applyFill="1" applyBorder="1" applyAlignment="1" applyProtection="1">
      <alignment horizontal="center" vertical="top" wrapText="1"/>
      <protection hidden="1"/>
    </xf>
    <xf numFmtId="0" fontId="0" fillId="2" borderId="6" xfId="0" applyFont="1" applyFill="1" applyBorder="1" applyProtection="1">
      <protection hidden="1"/>
    </xf>
    <xf numFmtId="0" fontId="7" fillId="3" borderId="5" xfId="0" applyFont="1" applyFill="1" applyBorder="1" applyAlignment="1" applyProtection="1">
      <alignment horizontal="left" vertical="center"/>
      <protection hidden="1"/>
    </xf>
    <xf numFmtId="0" fontId="7" fillId="3" borderId="5" xfId="0" applyFont="1" applyFill="1" applyBorder="1" applyAlignment="1" applyProtection="1">
      <alignment horizontal="center"/>
      <protection hidden="1"/>
    </xf>
    <xf numFmtId="0" fontId="7" fillId="3" borderId="13" xfId="0" applyFont="1" applyFill="1" applyBorder="1" applyAlignment="1" applyProtection="1">
      <alignment horizontal="left"/>
      <protection hidden="1"/>
    </xf>
    <xf numFmtId="0" fontId="7" fillId="3" borderId="1" xfId="0" applyFont="1" applyFill="1" applyBorder="1" applyAlignment="1" applyProtection="1">
      <alignment horizontal="left"/>
      <protection hidden="1"/>
    </xf>
    <xf numFmtId="0" fontId="7" fillId="3" borderId="14" xfId="0" applyFont="1" applyFill="1" applyBorder="1" applyAlignment="1" applyProtection="1">
      <alignment horizontal="left"/>
      <protection hidden="1"/>
    </xf>
    <xf numFmtId="49" fontId="0" fillId="4" borderId="2" xfId="0" applyNumberFormat="1" applyFont="1" applyFill="1" applyBorder="1" applyAlignment="1" applyProtection="1">
      <alignment horizontal="center" vertical="center"/>
      <protection hidden="1"/>
    </xf>
    <xf numFmtId="14" fontId="0" fillId="4" borderId="2" xfId="0" applyNumberFormat="1" applyFont="1" applyFill="1" applyBorder="1" applyAlignment="1" applyProtection="1">
      <alignment horizontal="center" vertical="center"/>
      <protection hidden="1"/>
    </xf>
    <xf numFmtId="49" fontId="1" fillId="2" borderId="2" xfId="0" applyNumberFormat="1" applyFont="1" applyFill="1" applyBorder="1" applyAlignment="1" applyProtection="1">
      <alignment horizontal="center" vertical="center"/>
      <protection hidden="1"/>
    </xf>
    <xf numFmtId="0" fontId="0" fillId="2" borderId="0" xfId="0" applyFont="1" applyFill="1" applyBorder="1" applyProtection="1">
      <protection hidden="1"/>
    </xf>
    <xf numFmtId="0" fontId="1" fillId="4" borderId="2" xfId="0" applyFont="1" applyFill="1" applyBorder="1" applyAlignment="1" applyProtection="1">
      <alignment vertical="center" wrapText="1"/>
      <protection locked="0"/>
    </xf>
    <xf numFmtId="0" fontId="0" fillId="0" borderId="1" xfId="0" applyFill="1" applyBorder="1" applyProtection="1"/>
    <xf numFmtId="0" fontId="1" fillId="0" borderId="2" xfId="0" applyFont="1" applyFill="1" applyBorder="1" applyAlignment="1" applyProtection="1">
      <alignment vertical="center" wrapText="1"/>
      <protection locked="0"/>
    </xf>
    <xf numFmtId="0" fontId="1" fillId="0" borderId="3" xfId="0" applyFont="1" applyFill="1" applyBorder="1" applyAlignment="1" applyProtection="1">
      <alignment vertical="center" wrapText="1"/>
      <protection locked="0"/>
    </xf>
    <xf numFmtId="0" fontId="1" fillId="0" borderId="15" xfId="0" applyFont="1" applyFill="1" applyBorder="1" applyAlignment="1" applyProtection="1">
      <alignment vertical="center" wrapText="1"/>
      <protection locked="0"/>
    </xf>
    <xf numFmtId="0" fontId="1" fillId="0" borderId="15" xfId="0" applyFont="1" applyFill="1" applyBorder="1" applyAlignment="1" applyProtection="1">
      <alignment horizontal="left" vertical="center" wrapText="1"/>
      <protection locked="0"/>
    </xf>
    <xf numFmtId="0" fontId="1" fillId="0" borderId="5" xfId="0" applyFont="1" applyFill="1" applyBorder="1" applyAlignment="1" applyProtection="1">
      <alignment vertical="center" wrapText="1"/>
      <protection locked="0"/>
    </xf>
    <xf numFmtId="0" fontId="0" fillId="0" borderId="2" xfId="0" applyFont="1" applyFill="1" applyBorder="1" applyProtection="1">
      <protection locked="0"/>
    </xf>
    <xf numFmtId="0" fontId="0" fillId="2" borderId="2" xfId="0" applyFont="1" applyFill="1" applyBorder="1" applyProtection="1">
      <protection locked="0"/>
    </xf>
    <xf numFmtId="0" fontId="0" fillId="2" borderId="0" xfId="0" applyFill="1" applyProtection="1"/>
    <xf numFmtId="0" fontId="0" fillId="4" borderId="1" xfId="0" applyFill="1" applyBorder="1" applyProtection="1"/>
    <xf numFmtId="0" fontId="0" fillId="2" borderId="0" xfId="0" applyFont="1" applyFill="1" applyProtection="1">
      <protection locked="0"/>
    </xf>
    <xf numFmtId="0" fontId="84" fillId="0" borderId="0" xfId="0" applyFont="1" applyProtection="1"/>
    <xf numFmtId="0" fontId="84" fillId="0" borderId="0" xfId="0" applyFont="1"/>
    <xf numFmtId="0" fontId="85" fillId="3" borderId="0" xfId="0" applyFont="1" applyFill="1" applyBorder="1" applyAlignment="1" applyProtection="1">
      <alignment vertical="center"/>
    </xf>
    <xf numFmtId="0" fontId="85" fillId="3" borderId="0" xfId="0" applyFont="1" applyFill="1" applyBorder="1" applyAlignment="1" applyProtection="1">
      <alignment vertical="top"/>
    </xf>
    <xf numFmtId="0" fontId="86" fillId="3" borderId="0" xfId="0" applyFont="1" applyFill="1" applyBorder="1" applyProtection="1"/>
    <xf numFmtId="1" fontId="85" fillId="3" borderId="0" xfId="0" applyNumberFormat="1" applyFont="1" applyFill="1" applyBorder="1" applyAlignment="1" applyProtection="1">
      <alignment vertical="top"/>
    </xf>
    <xf numFmtId="14" fontId="85" fillId="3" borderId="0" xfId="0" applyNumberFormat="1" applyFont="1" applyFill="1" applyBorder="1" applyAlignment="1" applyProtection="1">
      <alignment vertical="top"/>
    </xf>
    <xf numFmtId="0" fontId="84" fillId="0" borderId="0" xfId="0" applyFont="1" applyBorder="1"/>
    <xf numFmtId="0" fontId="84" fillId="0" borderId="0" xfId="0" applyFont="1" applyBorder="1" applyProtection="1"/>
    <xf numFmtId="0" fontId="87" fillId="0" borderId="0" xfId="0" applyFont="1" applyBorder="1" applyProtection="1"/>
    <xf numFmtId="0" fontId="88" fillId="0" borderId="0" xfId="0" applyFont="1" applyBorder="1" applyAlignment="1" applyProtection="1">
      <alignment horizontal="center"/>
    </xf>
    <xf numFmtId="0" fontId="32" fillId="0" borderId="0" xfId="0" applyFont="1" applyBorder="1" applyProtection="1"/>
    <xf numFmtId="0" fontId="19" fillId="3" borderId="0" xfId="0" applyFont="1" applyFill="1" applyBorder="1" applyAlignment="1" applyProtection="1">
      <alignment horizontal="right" vertical="top"/>
      <protection hidden="1"/>
    </xf>
    <xf numFmtId="0" fontId="82" fillId="3" borderId="1" xfId="0" applyFont="1" applyFill="1" applyBorder="1" applyAlignment="1" applyProtection="1">
      <alignment horizontal="right" vertical="top"/>
      <protection hidden="1"/>
    </xf>
    <xf numFmtId="0" fontId="21" fillId="3" borderId="79" xfId="0" applyFont="1" applyFill="1" applyBorder="1" applyAlignment="1" applyProtection="1">
      <alignment horizontal="right" vertical="top"/>
      <protection hidden="1"/>
    </xf>
    <xf numFmtId="0" fontId="89" fillId="3" borderId="0" xfId="0" applyFont="1" applyFill="1" applyBorder="1" applyAlignment="1" applyProtection="1">
      <alignment horizontal="right" vertical="top"/>
    </xf>
    <xf numFmtId="0" fontId="31" fillId="3" borderId="0" xfId="0" applyFont="1" applyFill="1" applyBorder="1" applyAlignment="1" applyProtection="1">
      <alignment horizontal="right" vertical="top" wrapText="1"/>
      <protection hidden="1"/>
    </xf>
    <xf numFmtId="0" fontId="19" fillId="3" borderId="1" xfId="0" applyFont="1" applyFill="1" applyBorder="1" applyAlignment="1" applyProtection="1">
      <alignment horizontal="right" vertical="top" wrapText="1"/>
    </xf>
    <xf numFmtId="0" fontId="44" fillId="2" borderId="1" xfId="0" applyFont="1" applyFill="1" applyBorder="1" applyAlignment="1" applyProtection="1">
      <alignment wrapText="1"/>
    </xf>
    <xf numFmtId="0" fontId="44" fillId="2" borderId="41" xfId="0" applyFont="1" applyFill="1" applyBorder="1" applyAlignment="1" applyProtection="1">
      <alignment wrapText="1"/>
    </xf>
    <xf numFmtId="0" fontId="26" fillId="4" borderId="50" xfId="0" applyFont="1" applyFill="1" applyBorder="1" applyAlignment="1" applyProtection="1">
      <alignment horizontal="left" vertical="center" wrapText="1"/>
      <protection locked="0"/>
    </xf>
    <xf numFmtId="0" fontId="26" fillId="5" borderId="136" xfId="0" applyFont="1" applyFill="1" applyBorder="1" applyAlignment="1" applyProtection="1">
      <alignment horizontal="left" vertical="center" wrapText="1"/>
      <protection locked="0"/>
    </xf>
    <xf numFmtId="0" fontId="26" fillId="4" borderId="48" xfId="0" applyFont="1" applyFill="1" applyBorder="1" applyAlignment="1" applyProtection="1">
      <alignment horizontal="left" vertical="center" wrapText="1"/>
      <protection locked="0"/>
    </xf>
    <xf numFmtId="0" fontId="58" fillId="0" borderId="5" xfId="0" applyFont="1" applyBorder="1"/>
    <xf numFmtId="0" fontId="0" fillId="0" borderId="22" xfId="0" applyBorder="1"/>
    <xf numFmtId="0" fontId="23" fillId="10" borderId="2" xfId="0" applyFont="1" applyFill="1" applyBorder="1"/>
    <xf numFmtId="0" fontId="23" fillId="6" borderId="48" xfId="0" applyFont="1" applyFill="1" applyBorder="1" applyAlignment="1" applyProtection="1">
      <alignment horizontal="center" vertical="center"/>
      <protection locked="0"/>
    </xf>
    <xf numFmtId="0" fontId="0" fillId="8" borderId="0" xfId="0" applyFont="1" applyFill="1" applyBorder="1" applyProtection="1">
      <protection hidden="1"/>
    </xf>
    <xf numFmtId="0" fontId="0" fillId="12" borderId="2" xfId="0" applyFill="1" applyBorder="1" applyProtection="1">
      <protection hidden="1"/>
    </xf>
    <xf numFmtId="0" fontId="23" fillId="10" borderId="0" xfId="0" applyFont="1" applyFill="1" applyBorder="1"/>
    <xf numFmtId="0" fontId="0" fillId="0" borderId="0" xfId="0" applyBorder="1"/>
    <xf numFmtId="0" fontId="0" fillId="18" borderId="2" xfId="0" applyFill="1" applyBorder="1" applyProtection="1">
      <protection hidden="1"/>
    </xf>
    <xf numFmtId="0" fontId="3" fillId="12" borderId="2" xfId="0" applyFont="1" applyFill="1" applyBorder="1" applyProtection="1">
      <protection hidden="1"/>
    </xf>
    <xf numFmtId="0" fontId="0" fillId="18" borderId="0" xfId="0" applyFill="1"/>
    <xf numFmtId="0" fontId="0" fillId="12" borderId="0" xfId="0" applyFill="1"/>
    <xf numFmtId="0" fontId="0" fillId="2" borderId="5" xfId="0" applyFill="1" applyBorder="1" applyProtection="1">
      <protection hidden="1"/>
    </xf>
    <xf numFmtId="0" fontId="0" fillId="2" borderId="59" xfId="0" applyFill="1" applyBorder="1" applyProtection="1">
      <protection hidden="1"/>
    </xf>
    <xf numFmtId="0" fontId="42" fillId="0" borderId="2" xfId="0" applyFont="1" applyBorder="1" applyProtection="1"/>
    <xf numFmtId="0" fontId="90" fillId="10" borderId="64" xfId="0" applyFont="1" applyFill="1" applyBorder="1" applyProtection="1"/>
    <xf numFmtId="0" fontId="0" fillId="2" borderId="54" xfId="0" applyFill="1" applyBorder="1" applyProtection="1">
      <protection hidden="1"/>
    </xf>
    <xf numFmtId="0" fontId="0" fillId="2" borderId="3" xfId="0" applyFill="1" applyBorder="1" applyProtection="1">
      <protection hidden="1"/>
    </xf>
    <xf numFmtId="0" fontId="42" fillId="0" borderId="5" xfId="0" applyFont="1" applyBorder="1" applyProtection="1"/>
    <xf numFmtId="0" fontId="42" fillId="0" borderId="3" xfId="0" applyFont="1" applyBorder="1" applyProtection="1"/>
    <xf numFmtId="0" fontId="42" fillId="0" borderId="54" xfId="0" applyFont="1" applyBorder="1" applyProtection="1"/>
    <xf numFmtId="0" fontId="0" fillId="0" borderId="80" xfId="0" applyBorder="1" applyProtection="1"/>
    <xf numFmtId="0" fontId="0" fillId="2" borderId="81" xfId="0" applyFill="1" applyBorder="1" applyProtection="1">
      <protection hidden="1"/>
    </xf>
    <xf numFmtId="0" fontId="32" fillId="9" borderId="54" xfId="0" applyFont="1" applyFill="1" applyBorder="1" applyProtection="1"/>
    <xf numFmtId="0" fontId="24" fillId="0" borderId="0" xfId="0" applyFont="1" applyProtection="1"/>
    <xf numFmtId="0" fontId="91" fillId="3" borderId="0" xfId="0" applyFont="1" applyFill="1" applyAlignment="1" applyProtection="1">
      <alignment horizontal="center"/>
      <protection hidden="1"/>
    </xf>
    <xf numFmtId="0" fontId="91" fillId="3" borderId="0" xfId="0" applyFont="1" applyFill="1" applyAlignment="1" applyProtection="1">
      <alignment horizontal="left"/>
      <protection hidden="1"/>
    </xf>
    <xf numFmtId="0" fontId="0" fillId="12" borderId="7" xfId="0" applyFill="1" applyBorder="1" applyProtection="1">
      <protection hidden="1"/>
    </xf>
    <xf numFmtId="0" fontId="0" fillId="2" borderId="7" xfId="0" applyFill="1" applyBorder="1" applyProtection="1">
      <protection hidden="1"/>
    </xf>
    <xf numFmtId="0" fontId="0" fillId="20" borderId="5" xfId="0" applyFill="1" applyBorder="1" applyProtection="1"/>
    <xf numFmtId="0" fontId="0" fillId="20" borderId="0" xfId="0" applyFill="1" applyProtection="1"/>
    <xf numFmtId="0" fontId="0" fillId="8" borderId="5" xfId="0" applyFill="1" applyBorder="1" applyProtection="1"/>
    <xf numFmtId="0" fontId="44" fillId="2" borderId="1" xfId="0" applyFont="1" applyFill="1" applyBorder="1" applyAlignment="1" applyProtection="1">
      <alignment horizontal="center" wrapText="1"/>
    </xf>
    <xf numFmtId="0" fontId="0" fillId="0" borderId="5" xfId="0" applyFont="1" applyBorder="1" applyProtection="1"/>
    <xf numFmtId="0" fontId="0" fillId="0" borderId="2" xfId="0" applyFont="1" applyBorder="1" applyProtection="1"/>
    <xf numFmtId="0" fontId="23" fillId="10" borderId="21" xfId="0" applyFont="1" applyFill="1" applyBorder="1" applyProtection="1"/>
    <xf numFmtId="0" fontId="23" fillId="10" borderId="68" xfId="0" applyFont="1" applyFill="1" applyBorder="1" applyProtection="1"/>
    <xf numFmtId="0" fontId="0" fillId="21" borderId="0" xfId="0" applyFill="1" applyProtection="1"/>
    <xf numFmtId="0" fontId="0" fillId="8" borderId="0" xfId="0" applyFill="1" applyProtection="1"/>
    <xf numFmtId="0" fontId="23" fillId="10" borderId="2" xfId="0" applyFont="1" applyFill="1" applyBorder="1" applyAlignment="1" applyProtection="1">
      <alignment wrapText="1"/>
    </xf>
    <xf numFmtId="0" fontId="52" fillId="4" borderId="50" xfId="0" applyFont="1" applyFill="1" applyBorder="1" applyAlignment="1" applyProtection="1">
      <alignment horizontal="left" vertical="center" wrapText="1"/>
      <protection locked="0"/>
    </xf>
    <xf numFmtId="0" fontId="92" fillId="4" borderId="50" xfId="0" applyFont="1" applyFill="1" applyBorder="1" applyAlignment="1" applyProtection="1">
      <alignment horizontal="left" vertical="center" wrapText="1"/>
      <protection locked="0"/>
    </xf>
    <xf numFmtId="0" fontId="44" fillId="2" borderId="48" xfId="0" applyFont="1" applyFill="1" applyBorder="1" applyAlignment="1" applyProtection="1">
      <alignment horizontal="center" vertical="top" wrapText="1"/>
    </xf>
    <xf numFmtId="0" fontId="23" fillId="10" borderId="0" xfId="0" applyFont="1" applyFill="1" applyAlignment="1" applyProtection="1">
      <alignment wrapText="1"/>
    </xf>
    <xf numFmtId="1" fontId="0" fillId="0" borderId="56" xfId="0" applyNumberFormat="1" applyFill="1" applyBorder="1" applyAlignment="1" applyProtection="1">
      <alignment horizontal="right"/>
    </xf>
    <xf numFmtId="0" fontId="56" fillId="2" borderId="5" xfId="0" applyFont="1" applyFill="1" applyBorder="1" applyAlignment="1" applyProtection="1">
      <alignment horizontal="center"/>
      <protection hidden="1"/>
    </xf>
    <xf numFmtId="0" fontId="0" fillId="4" borderId="15" xfId="0" applyFill="1" applyBorder="1" applyAlignment="1" applyProtection="1">
      <alignment horizontal="center" vertical="top"/>
      <protection hidden="1"/>
    </xf>
    <xf numFmtId="0" fontId="1" fillId="0" borderId="15" xfId="0" applyFont="1" applyFill="1" applyBorder="1" applyAlignment="1" applyProtection="1">
      <alignment horizontal="left" vertical="center"/>
      <protection hidden="1"/>
    </xf>
    <xf numFmtId="164" fontId="9" fillId="0" borderId="15" xfId="2" applyNumberFormat="1" applyFont="1" applyFill="1" applyBorder="1" applyAlignment="1" applyProtection="1">
      <alignment horizontal="left" vertical="center"/>
      <protection hidden="1"/>
    </xf>
    <xf numFmtId="0" fontId="1" fillId="0" borderId="5" xfId="0" applyFont="1" applyFill="1" applyBorder="1" applyAlignment="1" applyProtection="1">
      <alignment vertical="center"/>
      <protection hidden="1"/>
    </xf>
    <xf numFmtId="0" fontId="0" fillId="5" borderId="15" xfId="0" applyFont="1" applyFill="1" applyBorder="1" applyAlignment="1" applyProtection="1">
      <protection hidden="1"/>
    </xf>
    <xf numFmtId="0" fontId="0" fillId="5" borderId="5" xfId="0" applyFont="1" applyFill="1" applyBorder="1" applyAlignment="1" applyProtection="1">
      <protection hidden="1"/>
    </xf>
    <xf numFmtId="0" fontId="0" fillId="0" borderId="12" xfId="0" applyFont="1" applyFill="1" applyBorder="1" applyAlignment="1" applyProtection="1">
      <alignment horizontal="center" vertical="top" wrapText="1"/>
      <protection hidden="1"/>
    </xf>
    <xf numFmtId="0" fontId="23" fillId="0" borderId="0" xfId="0" applyFont="1" applyFill="1" applyBorder="1" applyAlignment="1" applyProtection="1">
      <alignment horizontal="left" vertical="center"/>
      <protection hidden="1"/>
    </xf>
    <xf numFmtId="0" fontId="23" fillId="5" borderId="12" xfId="0" applyFont="1" applyFill="1" applyBorder="1" applyAlignment="1" applyProtection="1">
      <alignment horizontal="left" vertical="center" wrapText="1"/>
      <protection hidden="1"/>
    </xf>
    <xf numFmtId="0" fontId="29" fillId="2" borderId="135" xfId="0" applyFont="1" applyFill="1" applyBorder="1" applyAlignment="1" applyProtection="1">
      <alignment horizontal="center" vertical="top" wrapText="1"/>
    </xf>
    <xf numFmtId="0" fontId="0" fillId="4" borderId="0" xfId="0" applyFill="1" applyBorder="1" applyAlignment="1" applyProtection="1">
      <alignment wrapText="1"/>
      <protection locked="0"/>
    </xf>
    <xf numFmtId="0" fontId="0" fillId="18" borderId="2" xfId="0" applyFill="1" applyBorder="1" applyProtection="1"/>
    <xf numFmtId="0" fontId="0" fillId="18" borderId="56" xfId="0" applyFill="1" applyBorder="1" applyProtection="1"/>
    <xf numFmtId="0" fontId="24" fillId="18" borderId="2" xfId="0" applyFont="1" applyFill="1" applyBorder="1" applyProtection="1"/>
    <xf numFmtId="0" fontId="0" fillId="18" borderId="66" xfId="0" applyFill="1" applyBorder="1" applyProtection="1"/>
    <xf numFmtId="0" fontId="0" fillId="18" borderId="3" xfId="0" applyFill="1" applyBorder="1" applyProtection="1"/>
    <xf numFmtId="0" fontId="0" fillId="18" borderId="85" xfId="0" applyFill="1" applyBorder="1" applyProtection="1"/>
    <xf numFmtId="0" fontId="0" fillId="18" borderId="15" xfId="0" applyFill="1" applyBorder="1" applyProtection="1"/>
    <xf numFmtId="0" fontId="24" fillId="0" borderId="15" xfId="0" applyFont="1" applyFill="1" applyBorder="1" applyProtection="1"/>
    <xf numFmtId="0" fontId="0" fillId="0" borderId="61" xfId="0" applyFill="1" applyBorder="1" applyProtection="1"/>
    <xf numFmtId="0" fontId="0" fillId="0" borderId="5" xfId="0" applyFill="1" applyBorder="1" applyProtection="1"/>
    <xf numFmtId="0" fontId="32" fillId="13" borderId="84" xfId="0" applyFont="1" applyFill="1" applyBorder="1" applyProtection="1"/>
    <xf numFmtId="0" fontId="32" fillId="13" borderId="116" xfId="0" applyFont="1" applyFill="1" applyBorder="1" applyProtection="1"/>
    <xf numFmtId="0" fontId="0" fillId="5" borderId="138" xfId="0" applyFont="1" applyFill="1" applyBorder="1" applyAlignment="1" applyProtection="1">
      <alignment horizontal="left" vertical="center"/>
    </xf>
    <xf numFmtId="0" fontId="26" fillId="5" borderId="139" xfId="0" applyFont="1" applyFill="1" applyBorder="1" applyAlignment="1" applyProtection="1">
      <alignment horizontal="center" vertical="center"/>
    </xf>
    <xf numFmtId="0" fontId="26" fillId="4" borderId="137" xfId="0" applyFont="1" applyFill="1" applyBorder="1" applyAlignment="1" applyProtection="1">
      <alignment horizontal="left" vertical="center" wrapText="1"/>
      <protection locked="0"/>
    </xf>
    <xf numFmtId="0" fontId="26" fillId="4" borderId="135" xfId="0" applyFont="1" applyFill="1" applyBorder="1" applyAlignment="1" applyProtection="1">
      <alignment horizontal="left" vertical="center" wrapText="1"/>
      <protection locked="0"/>
    </xf>
    <xf numFmtId="0" fontId="0" fillId="0" borderId="55" xfId="0" applyFill="1" applyBorder="1" applyProtection="1"/>
    <xf numFmtId="0" fontId="0" fillId="0" borderId="57" xfId="0" applyFill="1" applyBorder="1" applyProtection="1"/>
    <xf numFmtId="0" fontId="0" fillId="0" borderId="60" xfId="0" applyFill="1" applyBorder="1" applyProtection="1"/>
    <xf numFmtId="0" fontId="0" fillId="8" borderId="58" xfId="0" applyFill="1" applyBorder="1" applyProtection="1"/>
    <xf numFmtId="0" fontId="26" fillId="18" borderId="2" xfId="0" applyFont="1" applyFill="1" applyBorder="1" applyAlignment="1" applyProtection="1">
      <alignment horizontal="center" vertical="center"/>
    </xf>
    <xf numFmtId="1" fontId="0" fillId="18" borderId="55" xfId="0" applyNumberFormat="1" applyFill="1" applyBorder="1" applyProtection="1"/>
    <xf numFmtId="1" fontId="0" fillId="18" borderId="57" xfId="0" applyNumberFormat="1" applyFill="1" applyBorder="1" applyProtection="1"/>
    <xf numFmtId="1" fontId="0" fillId="18" borderId="60" xfId="0" applyNumberFormat="1" applyFill="1" applyBorder="1" applyProtection="1"/>
    <xf numFmtId="0" fontId="93" fillId="2" borderId="1" xfId="0" applyFont="1" applyFill="1" applyBorder="1" applyProtection="1">
      <protection hidden="1"/>
    </xf>
    <xf numFmtId="0" fontId="31" fillId="3" borderId="0" xfId="0" applyFont="1" applyFill="1" applyBorder="1" applyAlignment="1" applyProtection="1">
      <alignment vertical="center"/>
    </xf>
    <xf numFmtId="0" fontId="19" fillId="3" borderId="0" xfId="0" applyFont="1" applyFill="1" applyBorder="1" applyAlignment="1" applyProtection="1">
      <alignment horizontal="left" vertical="top"/>
      <protection hidden="1"/>
    </xf>
    <xf numFmtId="0" fontId="0" fillId="12" borderId="0" xfId="0" applyFill="1" applyBorder="1" applyProtection="1">
      <protection hidden="1"/>
    </xf>
    <xf numFmtId="0" fontId="0" fillId="8" borderId="66" xfId="0" applyFill="1" applyBorder="1" applyProtection="1"/>
    <xf numFmtId="0" fontId="0" fillId="12" borderId="85" xfId="0" applyFill="1" applyBorder="1" applyProtection="1"/>
    <xf numFmtId="0" fontId="32" fillId="0" borderId="2" xfId="0" applyFont="1" applyFill="1" applyBorder="1" applyProtection="1">
      <protection hidden="1"/>
    </xf>
    <xf numFmtId="0" fontId="0" fillId="0" borderId="66" xfId="0" applyFill="1" applyBorder="1" applyProtection="1"/>
    <xf numFmtId="0" fontId="0" fillId="8" borderId="53" xfId="0" applyFill="1" applyBorder="1" applyProtection="1"/>
    <xf numFmtId="0" fontId="0" fillId="0" borderId="3" xfId="0" applyFill="1" applyBorder="1" applyProtection="1"/>
    <xf numFmtId="0" fontId="26" fillId="4" borderId="7" xfId="0" applyFont="1" applyFill="1" applyBorder="1" applyAlignment="1" applyProtection="1">
      <alignment horizontal="center" vertical="center" wrapText="1"/>
      <protection locked="0"/>
    </xf>
    <xf numFmtId="0" fontId="82" fillId="4" borderId="0" xfId="0" applyFont="1" applyFill="1" applyBorder="1" applyAlignment="1" applyProtection="1">
      <alignment vertical="top" wrapText="1"/>
      <protection hidden="1"/>
    </xf>
    <xf numFmtId="0" fontId="23" fillId="2" borderId="0" xfId="0" applyFont="1" applyFill="1" applyBorder="1" applyProtection="1">
      <protection hidden="1"/>
    </xf>
    <xf numFmtId="0" fontId="96" fillId="2" borderId="0" xfId="0" applyFont="1" applyFill="1" applyBorder="1" applyAlignment="1" applyProtection="1">
      <alignment horizontal="left" wrapText="1"/>
      <protection locked="0" hidden="1"/>
    </xf>
    <xf numFmtId="0" fontId="26" fillId="4" borderId="36" xfId="0" applyFont="1" applyFill="1" applyBorder="1" applyAlignment="1" applyProtection="1">
      <alignment horizontal="left" vertical="top" wrapText="1"/>
      <protection locked="0"/>
    </xf>
    <xf numFmtId="0" fontId="49" fillId="2" borderId="41" xfId="0" applyFont="1" applyFill="1" applyBorder="1" applyAlignment="1" applyProtection="1">
      <alignment horizontal="center" vertical="top" wrapText="1"/>
    </xf>
    <xf numFmtId="0" fontId="0" fillId="4" borderId="40" xfId="0" applyFill="1" applyBorder="1" applyAlignment="1" applyProtection="1">
      <alignment vertical="top" wrapText="1"/>
    </xf>
    <xf numFmtId="0" fontId="23" fillId="6" borderId="48" xfId="0" applyFont="1" applyFill="1" applyBorder="1" applyAlignment="1" applyProtection="1">
      <alignment horizontal="left" vertical="top" wrapText="1"/>
      <protection locked="0"/>
    </xf>
    <xf numFmtId="0" fontId="23" fillId="6" borderId="1" xfId="0" applyFont="1" applyFill="1" applyBorder="1" applyAlignment="1" applyProtection="1">
      <alignment horizontal="left" vertical="top" wrapText="1"/>
      <protection locked="0"/>
    </xf>
    <xf numFmtId="0" fontId="23" fillId="6" borderId="41" xfId="0" applyFont="1" applyFill="1" applyBorder="1" applyAlignment="1" applyProtection="1">
      <alignment horizontal="left" vertical="top" wrapText="1"/>
      <protection locked="0"/>
    </xf>
    <xf numFmtId="0" fontId="26" fillId="4" borderId="4" xfId="0" applyFont="1" applyFill="1" applyBorder="1" applyAlignment="1" applyProtection="1">
      <alignment horizontal="left" vertical="top" wrapText="1"/>
      <protection locked="0"/>
    </xf>
    <xf numFmtId="0" fontId="26" fillId="4" borderId="2" xfId="0" applyFont="1" applyFill="1" applyBorder="1" applyAlignment="1" applyProtection="1">
      <alignment horizontal="left" vertical="top" wrapText="1"/>
      <protection locked="0"/>
    </xf>
    <xf numFmtId="0" fontId="26" fillId="5" borderId="95" xfId="0" applyFont="1" applyFill="1" applyBorder="1" applyAlignment="1" applyProtection="1">
      <alignment horizontal="left" vertical="top" wrapText="1"/>
      <protection locked="0"/>
    </xf>
    <xf numFmtId="0" fontId="26" fillId="5" borderId="94" xfId="0" applyFont="1" applyFill="1" applyBorder="1" applyAlignment="1" applyProtection="1">
      <alignment horizontal="left" vertical="top" wrapText="1"/>
      <protection locked="0"/>
    </xf>
    <xf numFmtId="0" fontId="26" fillId="5" borderId="94" xfId="0" applyFont="1" applyFill="1" applyBorder="1" applyAlignment="1" applyProtection="1">
      <alignment horizontal="center" vertical="top" wrapText="1"/>
      <protection locked="0"/>
    </xf>
    <xf numFmtId="0" fontId="0" fillId="2" borderId="0" xfId="0" applyFill="1" applyBorder="1" applyAlignment="1" applyProtection="1">
      <alignment horizontal="left" vertical="top" wrapText="1"/>
      <protection locked="0"/>
    </xf>
    <xf numFmtId="0" fontId="0" fillId="2" borderId="0" xfId="0" applyFill="1" applyBorder="1" applyAlignment="1" applyProtection="1">
      <alignment vertical="top" wrapText="1"/>
      <protection locked="0"/>
    </xf>
    <xf numFmtId="0" fontId="23" fillId="6" borderId="1" xfId="0" applyFont="1" applyFill="1" applyBorder="1" applyAlignment="1" applyProtection="1">
      <alignment vertical="top" wrapText="1"/>
      <protection locked="0"/>
    </xf>
    <xf numFmtId="0" fontId="23" fillId="6" borderId="49" xfId="0" applyFont="1" applyFill="1" applyBorder="1" applyAlignment="1" applyProtection="1">
      <alignment horizontal="left" vertical="top" wrapText="1"/>
      <protection locked="0"/>
    </xf>
    <xf numFmtId="0" fontId="23" fillId="6" borderId="45" xfId="0" applyFont="1" applyFill="1" applyBorder="1" applyAlignment="1" applyProtection="1">
      <alignment horizontal="left" vertical="top" wrapText="1"/>
      <protection locked="0"/>
    </xf>
    <xf numFmtId="0" fontId="23" fillId="6" borderId="45" xfId="0" applyFont="1" applyFill="1" applyBorder="1" applyAlignment="1" applyProtection="1">
      <alignment vertical="top" wrapText="1"/>
      <protection locked="0"/>
    </xf>
    <xf numFmtId="0" fontId="23" fillId="6" borderId="39" xfId="0" applyFont="1" applyFill="1" applyBorder="1" applyAlignment="1" applyProtection="1">
      <alignment horizontal="left" vertical="top" wrapText="1"/>
      <protection locked="0"/>
    </xf>
    <xf numFmtId="0" fontId="26" fillId="5" borderId="92" xfId="0" applyFont="1" applyFill="1" applyBorder="1" applyAlignment="1" applyProtection="1">
      <alignment horizontal="center" vertical="top" wrapText="1"/>
      <protection locked="0"/>
    </xf>
    <xf numFmtId="0" fontId="0" fillId="2" borderId="0" xfId="0" applyFill="1" applyBorder="1" applyAlignment="1" applyProtection="1">
      <alignment vertical="top" wrapText="1"/>
      <protection hidden="1"/>
    </xf>
    <xf numFmtId="0" fontId="0" fillId="2" borderId="0" xfId="0" applyFill="1" applyAlignment="1" applyProtection="1">
      <alignment vertical="top" wrapText="1"/>
      <protection hidden="1"/>
    </xf>
    <xf numFmtId="0" fontId="23" fillId="4" borderId="0" xfId="0" applyFont="1" applyFill="1" applyAlignment="1" applyProtection="1">
      <alignment horizontal="right" vertical="top" wrapText="1"/>
      <protection hidden="1"/>
    </xf>
    <xf numFmtId="0" fontId="0" fillId="4" borderId="0" xfId="0" applyFill="1" applyAlignment="1" applyProtection="1">
      <alignment vertical="top" wrapText="1"/>
      <protection hidden="1"/>
    </xf>
    <xf numFmtId="0" fontId="0" fillId="2" borderId="0" xfId="0" applyFill="1" applyAlignment="1" applyProtection="1">
      <alignment vertical="top" wrapText="1"/>
      <protection locked="0" hidden="1"/>
    </xf>
    <xf numFmtId="0" fontId="12" fillId="2" borderId="0" xfId="0" applyFont="1" applyFill="1" applyAlignment="1" applyProtection="1">
      <alignment horizontal="center" vertical="top" wrapText="1"/>
      <protection locked="0" hidden="1"/>
    </xf>
    <xf numFmtId="0" fontId="0" fillId="0" borderId="0" xfId="0" applyAlignment="1" applyProtection="1">
      <alignment wrapText="1"/>
    </xf>
    <xf numFmtId="0" fontId="32" fillId="0" borderId="0" xfId="0" applyFont="1" applyAlignment="1" applyProtection="1">
      <alignment wrapText="1"/>
    </xf>
    <xf numFmtId="1" fontId="0" fillId="0" borderId="0" xfId="0" applyNumberFormat="1" applyAlignment="1" applyProtection="1">
      <alignment wrapText="1"/>
    </xf>
    <xf numFmtId="14" fontId="0" fillId="0" borderId="0" xfId="0" applyNumberFormat="1" applyAlignment="1" applyProtection="1">
      <alignment wrapText="1"/>
    </xf>
    <xf numFmtId="0" fontId="94" fillId="12" borderId="2" xfId="0" applyFont="1" applyFill="1" applyBorder="1" applyAlignment="1" applyProtection="1">
      <alignment wrapText="1"/>
    </xf>
    <xf numFmtId="0" fontId="94" fillId="12" borderId="57" xfId="0" applyFont="1" applyFill="1" applyBorder="1" applyAlignment="1" applyProtection="1">
      <alignment wrapText="1"/>
    </xf>
    <xf numFmtId="0" fontId="0" fillId="12" borderId="2" xfId="0" applyFill="1" applyBorder="1" applyAlignment="1" applyProtection="1">
      <alignment wrapText="1"/>
    </xf>
    <xf numFmtId="0" fontId="0" fillId="12" borderId="57" xfId="0" applyFill="1" applyBorder="1" applyAlignment="1" applyProtection="1">
      <alignment wrapText="1"/>
    </xf>
    <xf numFmtId="0" fontId="0" fillId="12" borderId="3" xfId="0" applyFill="1" applyBorder="1" applyAlignment="1" applyProtection="1">
      <alignment wrapText="1"/>
    </xf>
    <xf numFmtId="0" fontId="0" fillId="12" borderId="67" xfId="0" applyFill="1" applyBorder="1" applyAlignment="1" applyProtection="1">
      <alignment wrapText="1"/>
    </xf>
    <xf numFmtId="0" fontId="32" fillId="13" borderId="64" xfId="0" applyFont="1" applyFill="1" applyBorder="1" applyAlignment="1" applyProtection="1">
      <alignment wrapText="1"/>
    </xf>
    <xf numFmtId="0" fontId="32" fillId="13" borderId="84" xfId="0" applyFont="1" applyFill="1" applyBorder="1" applyAlignment="1" applyProtection="1">
      <alignment wrapText="1"/>
    </xf>
    <xf numFmtId="0" fontId="0" fillId="12" borderId="2" xfId="0" applyFont="1" applyFill="1" applyBorder="1" applyAlignment="1" applyProtection="1">
      <alignment wrapText="1"/>
    </xf>
    <xf numFmtId="0" fontId="0" fillId="12" borderId="54" xfId="0" applyFill="1" applyBorder="1" applyAlignment="1" applyProtection="1">
      <alignment wrapText="1"/>
    </xf>
    <xf numFmtId="0" fontId="0" fillId="12" borderId="55" xfId="0" applyFill="1" applyBorder="1" applyAlignment="1" applyProtection="1">
      <alignment wrapText="1"/>
    </xf>
    <xf numFmtId="0" fontId="0" fillId="12" borderId="59" xfId="0" applyFill="1" applyBorder="1" applyAlignment="1" applyProtection="1">
      <alignment wrapText="1"/>
    </xf>
    <xf numFmtId="0" fontId="0" fillId="12" borderId="60" xfId="0" applyFill="1" applyBorder="1" applyAlignment="1" applyProtection="1">
      <alignment wrapText="1"/>
    </xf>
    <xf numFmtId="0" fontId="24" fillId="0" borderId="0" xfId="0" applyFont="1" applyAlignment="1" applyProtection="1">
      <alignment wrapText="1"/>
    </xf>
    <xf numFmtId="0" fontId="23" fillId="10" borderId="64" xfId="0" applyFont="1" applyFill="1" applyBorder="1" applyAlignment="1" applyProtection="1">
      <alignment wrapText="1"/>
    </xf>
    <xf numFmtId="0" fontId="23" fillId="10" borderId="65" xfId="0" applyFont="1" applyFill="1" applyBorder="1" applyAlignment="1" applyProtection="1">
      <alignment wrapText="1"/>
    </xf>
    <xf numFmtId="0" fontId="0" fillId="0" borderId="5" xfId="0" applyBorder="1" applyAlignment="1" applyProtection="1">
      <alignment wrapText="1"/>
    </xf>
    <xf numFmtId="0" fontId="0" fillId="0" borderId="62" xfId="0" applyBorder="1" applyAlignment="1" applyProtection="1">
      <alignment wrapText="1"/>
    </xf>
    <xf numFmtId="0" fontId="0" fillId="0" borderId="2" xfId="0" applyBorder="1" applyAlignment="1" applyProtection="1">
      <alignment wrapText="1"/>
    </xf>
    <xf numFmtId="0" fontId="0" fillId="0" borderId="57" xfId="0" applyBorder="1" applyAlignment="1" applyProtection="1">
      <alignment wrapText="1"/>
    </xf>
    <xf numFmtId="0" fontId="0" fillId="0" borderId="59" xfId="0" applyBorder="1" applyAlignment="1" applyProtection="1">
      <alignment wrapText="1"/>
    </xf>
    <xf numFmtId="0" fontId="0" fillId="0" borderId="60" xfId="0" applyBorder="1" applyAlignment="1" applyProtection="1">
      <alignment wrapText="1"/>
    </xf>
    <xf numFmtId="0" fontId="0" fillId="0" borderId="3" xfId="0" applyBorder="1" applyAlignment="1" applyProtection="1">
      <alignment wrapText="1"/>
    </xf>
    <xf numFmtId="0" fontId="0" fillId="0" borderId="67" xfId="0" applyBorder="1" applyAlignment="1" applyProtection="1">
      <alignment wrapText="1"/>
    </xf>
    <xf numFmtId="0" fontId="0" fillId="0" borderId="54" xfId="0" applyBorder="1" applyAlignment="1" applyProtection="1">
      <alignment wrapText="1"/>
    </xf>
    <xf numFmtId="0" fontId="0" fillId="0" borderId="55" xfId="0" applyBorder="1" applyAlignment="1" applyProtection="1">
      <alignment wrapText="1"/>
    </xf>
    <xf numFmtId="0" fontId="0" fillId="0" borderId="81" xfId="0" applyBorder="1" applyAlignment="1" applyProtection="1">
      <alignment wrapText="1"/>
    </xf>
    <xf numFmtId="0" fontId="0" fillId="0" borderId="23" xfId="0" applyBorder="1" applyAlignment="1" applyProtection="1">
      <alignment wrapText="1"/>
    </xf>
    <xf numFmtId="0" fontId="24" fillId="0" borderId="0" xfId="0" applyFont="1" applyAlignment="1" applyProtection="1">
      <alignment vertical="top" wrapText="1"/>
    </xf>
    <xf numFmtId="0" fontId="26" fillId="0" borderId="36" xfId="0" applyFont="1" applyFill="1" applyBorder="1" applyAlignment="1" applyProtection="1">
      <alignment horizontal="left" vertical="top" wrapText="1"/>
      <protection locked="0"/>
    </xf>
    <xf numFmtId="164" fontId="65" fillId="5" borderId="25" xfId="2" applyNumberFormat="1" applyFont="1" applyFill="1" applyBorder="1" applyAlignment="1" applyProtection="1">
      <alignment horizontal="center" vertical="center"/>
      <protection hidden="1"/>
    </xf>
    <xf numFmtId="164" fontId="65" fillId="5" borderId="113" xfId="2" applyNumberFormat="1" applyFont="1" applyFill="1" applyBorder="1" applyAlignment="1" applyProtection="1">
      <alignment horizontal="center" vertical="center"/>
      <protection hidden="1"/>
    </xf>
    <xf numFmtId="164" fontId="65" fillId="5" borderId="30" xfId="2" applyNumberFormat="1" applyFont="1" applyFill="1" applyBorder="1" applyAlignment="1" applyProtection="1">
      <alignment horizontal="center" vertical="center"/>
      <protection hidden="1"/>
    </xf>
    <xf numFmtId="0" fontId="44" fillId="2" borderId="1" xfId="0" applyFont="1" applyFill="1" applyBorder="1" applyAlignment="1" applyProtection="1">
      <alignment horizontal="center" wrapText="1"/>
    </xf>
    <xf numFmtId="0" fontId="44" fillId="2" borderId="51" xfId="0" applyFont="1" applyFill="1" applyBorder="1" applyAlignment="1" applyProtection="1">
      <alignment horizontal="center" vertical="top" wrapText="1"/>
    </xf>
    <xf numFmtId="0" fontId="7" fillId="3" borderId="45" xfId="0" applyFont="1" applyFill="1" applyBorder="1" applyAlignment="1" applyProtection="1">
      <alignment horizontal="left" vertical="top" wrapText="1"/>
    </xf>
    <xf numFmtId="0" fontId="1" fillId="5" borderId="38" xfId="0" applyFont="1" applyFill="1" applyBorder="1" applyAlignment="1" applyProtection="1">
      <alignment horizontal="left" vertical="top" wrapText="1"/>
    </xf>
    <xf numFmtId="0" fontId="7" fillId="3" borderId="45" xfId="0" applyFont="1" applyFill="1" applyBorder="1" applyAlignment="1" applyProtection="1">
      <alignment horizontal="left" vertical="center" wrapText="1"/>
    </xf>
    <xf numFmtId="0" fontId="7" fillId="3" borderId="27" xfId="0" applyFont="1" applyFill="1" applyBorder="1" applyAlignment="1" applyProtection="1">
      <alignment horizontal="left" vertical="top" wrapText="1"/>
    </xf>
    <xf numFmtId="164" fontId="9" fillId="5" borderId="37" xfId="2" applyNumberFormat="1" applyFont="1" applyFill="1" applyBorder="1" applyAlignment="1" applyProtection="1">
      <alignment horizontal="left" vertical="top" wrapText="1"/>
    </xf>
    <xf numFmtId="0" fontId="7" fillId="3" borderId="27" xfId="0" applyFont="1" applyFill="1" applyBorder="1" applyAlignment="1" applyProtection="1">
      <alignment horizontal="left" vertical="center" wrapText="1"/>
    </xf>
    <xf numFmtId="0" fontId="1" fillId="5" borderId="37" xfId="0" applyFont="1" applyFill="1" applyBorder="1" applyAlignment="1" applyProtection="1">
      <alignment vertical="top" wrapText="1"/>
    </xf>
    <xf numFmtId="0" fontId="1" fillId="5" borderId="37" xfId="0" applyFont="1" applyFill="1" applyBorder="1" applyAlignment="1" applyProtection="1">
      <alignment vertical="top" wrapText="1"/>
      <protection locked="0"/>
    </xf>
    <xf numFmtId="0" fontId="23" fillId="4" borderId="40" xfId="0" applyFont="1" applyFill="1" applyBorder="1" applyAlignment="1" applyProtection="1">
      <alignment vertical="top" wrapText="1"/>
      <protection locked="0"/>
    </xf>
    <xf numFmtId="0" fontId="23" fillId="6" borderId="51" xfId="0" applyFont="1" applyFill="1" applyBorder="1" applyAlignment="1" applyProtection="1">
      <alignment vertical="top" wrapText="1"/>
      <protection locked="0"/>
    </xf>
    <xf numFmtId="0" fontId="26" fillId="3" borderId="6" xfId="0" applyFont="1" applyFill="1" applyBorder="1" applyAlignment="1" applyProtection="1">
      <alignment horizontal="center" vertical="top" wrapText="1"/>
      <protection locked="0"/>
    </xf>
    <xf numFmtId="0" fontId="26" fillId="3" borderId="6" xfId="0" applyFont="1" applyFill="1" applyBorder="1" applyAlignment="1" applyProtection="1">
      <alignment horizontal="center" vertical="center" wrapText="1"/>
      <protection locked="0"/>
    </xf>
    <xf numFmtId="0" fontId="23" fillId="6" borderId="41" xfId="0" applyFont="1" applyFill="1" applyBorder="1" applyAlignment="1" applyProtection="1">
      <alignment vertical="top" wrapText="1"/>
      <protection locked="0"/>
    </xf>
    <xf numFmtId="0" fontId="23" fillId="4" borderId="0" xfId="0" applyFont="1" applyFill="1" applyBorder="1" applyAlignment="1" applyProtection="1">
      <alignment vertical="top" wrapText="1"/>
      <protection locked="0"/>
    </xf>
    <xf numFmtId="0" fontId="23" fillId="4" borderId="0" xfId="0" applyFont="1" applyFill="1" applyAlignment="1" applyProtection="1">
      <alignment vertical="top" wrapText="1"/>
      <protection locked="0"/>
    </xf>
    <xf numFmtId="0" fontId="23" fillId="4" borderId="0" xfId="0" applyFont="1" applyFill="1" applyBorder="1" applyAlignment="1" applyProtection="1">
      <alignment vertical="top" wrapText="1"/>
    </xf>
    <xf numFmtId="0" fontId="0" fillId="4" borderId="0" xfId="0" applyFill="1" applyAlignment="1">
      <alignment vertical="top" wrapText="1"/>
    </xf>
    <xf numFmtId="0" fontId="0" fillId="0" borderId="0" xfId="0" applyAlignment="1" applyProtection="1"/>
    <xf numFmtId="0" fontId="0" fillId="2" borderId="0" xfId="0" applyFill="1" applyAlignment="1" applyProtection="1">
      <alignment vertical="center" wrapText="1"/>
      <protection hidden="1"/>
    </xf>
    <xf numFmtId="0" fontId="0" fillId="2" borderId="0" xfId="0" applyFill="1" applyAlignment="1" applyProtection="1">
      <alignment vertical="center" wrapText="1"/>
      <protection locked="0" hidden="1"/>
    </xf>
    <xf numFmtId="0" fontId="0" fillId="5" borderId="138" xfId="0" applyFont="1" applyFill="1" applyBorder="1" applyAlignment="1" applyProtection="1">
      <alignment horizontal="left" vertical="center" wrapText="1"/>
    </xf>
    <xf numFmtId="0" fontId="24" fillId="4" borderId="0" xfId="0" applyFont="1" applyFill="1" applyBorder="1" applyAlignment="1" applyProtection="1">
      <alignment horizontal="left" vertical="center"/>
      <protection hidden="1"/>
    </xf>
    <xf numFmtId="0" fontId="24" fillId="4" borderId="0" xfId="0" applyFont="1" applyFill="1" applyAlignment="1" applyProtection="1">
      <alignment vertical="center"/>
    </xf>
    <xf numFmtId="0" fontId="24" fillId="4" borderId="0" xfId="0" applyFont="1" applyFill="1" applyProtection="1">
      <protection hidden="1"/>
    </xf>
    <xf numFmtId="1" fontId="0" fillId="12" borderId="61" xfId="0" applyNumberFormat="1" applyFill="1" applyBorder="1" applyAlignment="1" applyProtection="1">
      <alignment horizontal="right"/>
    </xf>
    <xf numFmtId="1" fontId="0" fillId="12" borderId="5" xfId="0" applyNumberFormat="1" applyFill="1" applyBorder="1" applyAlignment="1" applyProtection="1">
      <alignment horizontal="right"/>
    </xf>
    <xf numFmtId="0" fontId="0" fillId="0" borderId="61" xfId="0" applyFill="1" applyBorder="1" applyAlignment="1" applyProtection="1">
      <alignment horizontal="right"/>
    </xf>
    <xf numFmtId="0" fontId="0" fillId="0" borderId="5" xfId="0" applyFill="1" applyBorder="1" applyAlignment="1" applyProtection="1">
      <alignment horizontal="right"/>
    </xf>
    <xf numFmtId="0" fontId="0" fillId="0" borderId="62" xfId="0" applyBorder="1" applyProtection="1"/>
    <xf numFmtId="0" fontId="32" fillId="8" borderId="5" xfId="0" applyFont="1" applyFill="1" applyBorder="1" applyProtection="1"/>
    <xf numFmtId="0" fontId="32" fillId="8" borderId="2" xfId="0" applyFont="1" applyFill="1" applyBorder="1" applyProtection="1"/>
    <xf numFmtId="0" fontId="32" fillId="0" borderId="61" xfId="0" applyFont="1" applyBorder="1" applyProtection="1"/>
    <xf numFmtId="0" fontId="32" fillId="0" borderId="56" xfId="0" applyFont="1" applyBorder="1" applyProtection="1"/>
    <xf numFmtId="1" fontId="0" fillId="12" borderId="61" xfId="0" applyNumberFormat="1" applyFill="1" applyBorder="1" applyProtection="1"/>
    <xf numFmtId="1" fontId="0" fillId="12" borderId="5" xfId="0" applyNumberFormat="1" applyFill="1" applyBorder="1" applyProtection="1"/>
    <xf numFmtId="1" fontId="0" fillId="12" borderId="62" xfId="0" applyNumberFormat="1" applyFill="1" applyBorder="1" applyProtection="1"/>
    <xf numFmtId="0" fontId="0" fillId="0" borderId="13" xfId="0" applyFill="1" applyBorder="1" applyProtection="1"/>
    <xf numFmtId="0" fontId="0" fillId="20" borderId="0" xfId="0" applyFill="1" applyBorder="1" applyProtection="1"/>
    <xf numFmtId="1" fontId="0" fillId="12" borderId="66" xfId="0" applyNumberFormat="1" applyFill="1" applyBorder="1" applyAlignment="1" applyProtection="1">
      <alignment horizontal="right"/>
    </xf>
    <xf numFmtId="1" fontId="0" fillId="12" borderId="3" xfId="0" applyNumberFormat="1" applyFill="1" applyBorder="1" applyAlignment="1" applyProtection="1">
      <alignment horizontal="right"/>
    </xf>
    <xf numFmtId="1" fontId="0" fillId="12" borderId="67" xfId="0" applyNumberFormat="1" applyFill="1" applyBorder="1" applyAlignment="1" applyProtection="1">
      <alignment horizontal="right"/>
    </xf>
    <xf numFmtId="1" fontId="0" fillId="12" borderId="67" xfId="0" applyNumberFormat="1" applyFill="1" applyBorder="1" applyProtection="1"/>
    <xf numFmtId="0" fontId="0" fillId="0" borderId="66" xfId="0" applyFill="1" applyBorder="1" applyAlignment="1" applyProtection="1">
      <alignment horizontal="right"/>
    </xf>
    <xf numFmtId="0" fontId="0" fillId="0" borderId="3" xfId="0" applyFill="1" applyBorder="1" applyAlignment="1" applyProtection="1">
      <alignment horizontal="right"/>
    </xf>
    <xf numFmtId="0" fontId="0" fillId="0" borderId="9" xfId="0" applyFill="1" applyBorder="1" applyAlignment="1" applyProtection="1">
      <alignment horizontal="right"/>
    </xf>
    <xf numFmtId="0" fontId="0" fillId="0" borderId="67" xfId="0" applyBorder="1" applyProtection="1"/>
    <xf numFmtId="0" fontId="0" fillId="0" borderId="13" xfId="0" applyFill="1" applyBorder="1" applyAlignment="1" applyProtection="1">
      <alignment horizontal="right"/>
    </xf>
    <xf numFmtId="1" fontId="24" fillId="12" borderId="5" xfId="0" applyNumberFormat="1" applyFont="1" applyFill="1" applyBorder="1" applyProtection="1"/>
    <xf numFmtId="1" fontId="0" fillId="12" borderId="66" xfId="0" applyNumberFormat="1" applyFill="1" applyBorder="1" applyProtection="1"/>
    <xf numFmtId="1" fontId="0" fillId="12" borderId="3" xfId="0" applyNumberFormat="1" applyFill="1" applyBorder="1" applyProtection="1"/>
    <xf numFmtId="0" fontId="0" fillId="0" borderId="9" xfId="0" applyFill="1" applyBorder="1" applyProtection="1"/>
    <xf numFmtId="0" fontId="0" fillId="8" borderId="15" xfId="0" applyFill="1" applyBorder="1" applyProtection="1"/>
    <xf numFmtId="0" fontId="0" fillId="0" borderId="87" xfId="0" applyFill="1" applyBorder="1" applyProtection="1"/>
    <xf numFmtId="0" fontId="0" fillId="0" borderId="62" xfId="0" applyFill="1" applyBorder="1" applyProtection="1"/>
    <xf numFmtId="0" fontId="0" fillId="0" borderId="67" xfId="0" applyFill="1" applyBorder="1" applyProtection="1"/>
    <xf numFmtId="0" fontId="23" fillId="10" borderId="82" xfId="0" applyFont="1" applyFill="1" applyBorder="1" applyAlignment="1" applyProtection="1">
      <alignment horizontal="center" wrapText="1"/>
    </xf>
    <xf numFmtId="0" fontId="32" fillId="0" borderId="53" xfId="0" applyFont="1" applyBorder="1" applyProtection="1"/>
    <xf numFmtId="0" fontId="32" fillId="8" borderId="54" xfId="0" applyFont="1" applyFill="1" applyBorder="1" applyProtection="1"/>
    <xf numFmtId="0" fontId="32" fillId="5" borderId="24" xfId="0" applyFont="1" applyFill="1" applyBorder="1" applyAlignment="1" applyProtection="1">
      <alignment horizontal="left" vertical="center"/>
    </xf>
    <xf numFmtId="0" fontId="0" fillId="5" borderId="24" xfId="0" applyFont="1" applyFill="1" applyBorder="1" applyAlignment="1" applyProtection="1">
      <alignment horizontal="left" vertical="center" indent="2"/>
    </xf>
    <xf numFmtId="164" fontId="26" fillId="5" borderId="138" xfId="0" applyNumberFormat="1" applyFont="1" applyFill="1" applyBorder="1" applyAlignment="1" applyProtection="1">
      <alignment horizontal="center" vertical="center"/>
    </xf>
    <xf numFmtId="0" fontId="0" fillId="5" borderId="124" xfId="0" applyFill="1" applyBorder="1" applyAlignment="1" applyProtection="1">
      <alignment vertical="center"/>
    </xf>
    <xf numFmtId="0" fontId="26" fillId="4" borderId="0" xfId="0" applyFont="1" applyFill="1" applyBorder="1" applyAlignment="1" applyProtection="1">
      <alignment horizontal="left" vertical="center" wrapText="1"/>
      <protection locked="0"/>
    </xf>
    <xf numFmtId="0" fontId="37" fillId="5" borderId="37" xfId="0" applyFont="1" applyFill="1" applyBorder="1" applyAlignment="1" applyProtection="1">
      <alignment horizontal="center" vertical="center"/>
    </xf>
    <xf numFmtId="164" fontId="37" fillId="5" borderId="24" xfId="0" applyNumberFormat="1" applyFont="1" applyFill="1" applyBorder="1" applyAlignment="1" applyProtection="1">
      <alignment horizontal="center" vertical="center"/>
    </xf>
    <xf numFmtId="0" fontId="37" fillId="5" borderId="91" xfId="0" applyFont="1" applyFill="1" applyBorder="1" applyAlignment="1" applyProtection="1">
      <alignment horizontal="left" vertical="center"/>
    </xf>
    <xf numFmtId="0" fontId="28" fillId="6" borderId="124" xfId="0" applyFont="1" applyFill="1" applyBorder="1" applyAlignment="1" applyProtection="1">
      <alignment vertical="center"/>
    </xf>
    <xf numFmtId="0" fontId="23" fillId="6" borderId="0" xfId="0" applyFont="1" applyFill="1" applyBorder="1" applyAlignment="1" applyProtection="1">
      <alignment vertical="center"/>
    </xf>
    <xf numFmtId="0" fontId="23" fillId="6" borderId="0" xfId="0" applyFont="1" applyFill="1" applyBorder="1" applyAlignment="1" applyProtection="1">
      <alignment vertical="center"/>
      <protection locked="0"/>
    </xf>
    <xf numFmtId="0" fontId="26" fillId="3" borderId="11" xfId="0" applyFont="1" applyFill="1" applyBorder="1" applyAlignment="1" applyProtection="1">
      <alignment horizontal="center" vertical="center"/>
      <protection locked="0"/>
    </xf>
    <xf numFmtId="0" fontId="26" fillId="3" borderId="115" xfId="0" applyFont="1" applyFill="1" applyBorder="1" applyAlignment="1" applyProtection="1">
      <alignment horizontal="center" vertical="center"/>
      <protection locked="0"/>
    </xf>
    <xf numFmtId="0" fontId="23" fillId="6" borderId="135" xfId="0" applyFont="1" applyFill="1" applyBorder="1" applyAlignment="1" applyProtection="1">
      <alignment horizontal="left" vertical="top" wrapText="1"/>
      <protection locked="0"/>
    </xf>
    <xf numFmtId="0" fontId="26" fillId="4" borderId="131" xfId="0" applyFont="1" applyFill="1" applyBorder="1" applyAlignment="1" applyProtection="1">
      <alignment horizontal="left" vertical="center" wrapText="1"/>
      <protection locked="0"/>
    </xf>
    <xf numFmtId="0" fontId="26" fillId="4" borderId="103" xfId="0" applyFont="1" applyFill="1" applyBorder="1" applyAlignment="1" applyProtection="1">
      <alignment horizontal="left" vertical="center"/>
      <protection locked="0"/>
    </xf>
    <xf numFmtId="0" fontId="26" fillId="0" borderId="140" xfId="0" applyFont="1" applyFill="1" applyBorder="1" applyAlignment="1" applyProtection="1">
      <alignment horizontal="left" vertical="top" wrapText="1"/>
      <protection locked="0"/>
    </xf>
    <xf numFmtId="164" fontId="37" fillId="5" borderId="28" xfId="0" applyNumberFormat="1" applyFont="1" applyFill="1" applyBorder="1" applyAlignment="1" applyProtection="1">
      <alignment horizontal="center" vertical="center"/>
    </xf>
    <xf numFmtId="0" fontId="26" fillId="4" borderId="6" xfId="0" applyFont="1" applyFill="1" applyBorder="1" applyAlignment="1" applyProtection="1">
      <alignment horizontal="center" vertical="center" wrapText="1"/>
      <protection locked="0"/>
    </xf>
    <xf numFmtId="0" fontId="29" fillId="2" borderId="0" xfId="0" applyFont="1" applyFill="1" applyBorder="1" applyAlignment="1" applyProtection="1">
      <alignment horizontal="left" vertical="top" wrapText="1"/>
    </xf>
    <xf numFmtId="0" fontId="41" fillId="2" borderId="143" xfId="0" applyFont="1" applyFill="1" applyBorder="1" applyAlignment="1" applyProtection="1">
      <alignment horizontal="left" vertical="top" wrapText="1"/>
    </xf>
    <xf numFmtId="0" fontId="50" fillId="0" borderId="0" xfId="0" applyFont="1"/>
    <xf numFmtId="0" fontId="51" fillId="4" borderId="0" xfId="0" applyFont="1" applyFill="1" applyBorder="1" applyAlignment="1">
      <alignment horizontal="left" vertical="top" wrapText="1"/>
    </xf>
    <xf numFmtId="0" fontId="51" fillId="4" borderId="0" xfId="0" applyFont="1" applyFill="1" applyBorder="1" applyAlignment="1">
      <alignment horizontal="center" vertical="top" wrapText="1"/>
    </xf>
    <xf numFmtId="0" fontId="50" fillId="0" borderId="0" xfId="0" applyFont="1" applyBorder="1"/>
    <xf numFmtId="0" fontId="51" fillId="0" borderId="0" xfId="0" applyFont="1" applyFill="1" applyBorder="1"/>
    <xf numFmtId="0" fontId="50" fillId="0" borderId="0" xfId="0" applyFont="1" applyFill="1" applyBorder="1"/>
    <xf numFmtId="0" fontId="54" fillId="0" borderId="119" xfId="0" applyFont="1" applyBorder="1" applyProtection="1">
      <protection locked="0"/>
    </xf>
    <xf numFmtId="0" fontId="54" fillId="0" borderId="123" xfId="0" applyFont="1" applyBorder="1" applyProtection="1">
      <protection locked="0"/>
    </xf>
    <xf numFmtId="0" fontId="54" fillId="0" borderId="123" xfId="0" applyFont="1" applyBorder="1" applyAlignment="1" applyProtection="1">
      <alignment wrapText="1"/>
      <protection locked="0"/>
    </xf>
    <xf numFmtId="0" fontId="54" fillId="0" borderId="123" xfId="0" applyFont="1" applyFill="1" applyBorder="1" applyProtection="1">
      <protection locked="0"/>
    </xf>
    <xf numFmtId="0" fontId="98" fillId="4" borderId="0" xfId="0" applyFont="1" applyFill="1" applyBorder="1" applyAlignment="1">
      <alignment horizontal="center" vertical="center" wrapText="1"/>
    </xf>
    <xf numFmtId="0" fontId="99" fillId="0" borderId="2" xfId="3" applyFont="1" applyFill="1" applyBorder="1" applyAlignment="1">
      <alignment horizontal="center" vertical="center"/>
    </xf>
    <xf numFmtId="0" fontId="97" fillId="0" borderId="0" xfId="0" applyFont="1" applyFill="1" applyBorder="1" applyAlignment="1">
      <alignment horizontal="center" vertical="center"/>
    </xf>
    <xf numFmtId="0" fontId="54" fillId="0" borderId="0" xfId="0" applyFont="1" applyFill="1" applyBorder="1" applyProtection="1">
      <protection locked="0"/>
    </xf>
    <xf numFmtId="0" fontId="55" fillId="0" borderId="123" xfId="0" applyFont="1" applyBorder="1" applyProtection="1">
      <protection locked="0"/>
    </xf>
    <xf numFmtId="0" fontId="54" fillId="0" borderId="0" xfId="0" applyFont="1" applyBorder="1" applyProtection="1">
      <protection locked="0"/>
    </xf>
    <xf numFmtId="0" fontId="99" fillId="0" borderId="0" xfId="3" applyFont="1" applyFill="1" applyBorder="1" applyAlignment="1">
      <alignment horizontal="center" vertical="center"/>
    </xf>
    <xf numFmtId="0" fontId="55" fillId="0" borderId="123" xfId="0" applyFont="1" applyFill="1" applyBorder="1" applyProtection="1">
      <protection locked="0"/>
    </xf>
    <xf numFmtId="0" fontId="55" fillId="0" borderId="0" xfId="0" applyFont="1" applyFill="1" applyBorder="1" applyProtection="1">
      <protection locked="0"/>
    </xf>
    <xf numFmtId="0" fontId="55" fillId="0" borderId="0" xfId="0" applyFont="1" applyBorder="1" applyProtection="1">
      <protection locked="0"/>
    </xf>
    <xf numFmtId="0" fontId="55" fillId="0" borderId="148" xfId="0" applyFont="1" applyBorder="1" applyAlignment="1" applyProtection="1">
      <protection locked="0"/>
    </xf>
    <xf numFmtId="0" fontId="100" fillId="0" borderId="2" xfId="3" applyFont="1" applyFill="1" applyBorder="1"/>
    <xf numFmtId="0" fontId="51" fillId="0" borderId="2" xfId="0" applyFont="1" applyFill="1" applyBorder="1" applyAlignment="1">
      <alignment horizontal="center"/>
    </xf>
    <xf numFmtId="0" fontId="100" fillId="0" borderId="2" xfId="3" applyFont="1" applyFill="1" applyBorder="1" applyAlignment="1">
      <alignment vertical="top"/>
    </xf>
    <xf numFmtId="0" fontId="51" fillId="0" borderId="0" xfId="0" applyFont="1" applyFill="1" applyBorder="1" applyAlignment="1">
      <alignment horizontal="center"/>
    </xf>
    <xf numFmtId="0" fontId="101" fillId="0" borderId="2" xfId="3" applyFont="1" applyFill="1" applyBorder="1"/>
    <xf numFmtId="0" fontId="102" fillId="0" borderId="2" xfId="0" applyFont="1" applyFill="1" applyBorder="1" applyAlignment="1">
      <alignment horizontal="center"/>
    </xf>
    <xf numFmtId="0" fontId="101" fillId="0" borderId="2" xfId="3" applyFont="1" applyFill="1" applyBorder="1" applyAlignment="1">
      <alignment vertical="top"/>
    </xf>
    <xf numFmtId="0" fontId="102" fillId="0" borderId="2" xfId="0" applyFont="1" applyFill="1" applyBorder="1" applyAlignment="1">
      <alignment horizontal="center" vertical="top"/>
    </xf>
    <xf numFmtId="0" fontId="100" fillId="0" borderId="2" xfId="3" applyFont="1" applyFill="1" applyBorder="1" applyAlignment="1">
      <alignment horizontal="right"/>
    </xf>
    <xf numFmtId="0" fontId="102" fillId="0" borderId="2" xfId="0" applyFont="1" applyFill="1" applyBorder="1" applyAlignment="1">
      <alignment horizontal="center" wrapText="1"/>
    </xf>
    <xf numFmtId="0" fontId="51" fillId="0" borderId="2" xfId="0" applyFont="1" applyFill="1" applyBorder="1" applyAlignment="1">
      <alignment horizontal="center" wrapText="1"/>
    </xf>
    <xf numFmtId="0" fontId="51" fillId="0" borderId="2" xfId="0" applyFont="1" applyFill="1" applyBorder="1" applyAlignment="1">
      <alignment horizontal="center" vertical="top"/>
    </xf>
    <xf numFmtId="0" fontId="100" fillId="0" borderId="4" xfId="3" applyFont="1" applyFill="1" applyBorder="1"/>
    <xf numFmtId="0" fontId="51" fillId="0" borderId="4" xfId="0" applyFont="1" applyFill="1" applyBorder="1" applyAlignment="1">
      <alignment horizontal="center"/>
    </xf>
    <xf numFmtId="0" fontId="100" fillId="0" borderId="0" xfId="3" applyFont="1" applyFill="1" applyBorder="1"/>
    <xf numFmtId="0" fontId="0" fillId="0" borderId="2" xfId="0" applyFont="1" applyFill="1" applyBorder="1" applyAlignment="1" applyProtection="1">
      <alignment horizontal="left" indent="2"/>
    </xf>
    <xf numFmtId="0" fontId="23" fillId="10" borderId="149" xfId="0" applyFont="1" applyFill="1" applyBorder="1" applyAlignment="1" applyProtection="1">
      <alignment horizontal="center" wrapText="1"/>
    </xf>
    <xf numFmtId="0" fontId="0" fillId="8" borderId="75" xfId="0" applyFill="1" applyBorder="1" applyProtection="1"/>
    <xf numFmtId="0" fontId="0" fillId="8" borderId="76" xfId="0" applyFill="1" applyBorder="1" applyProtection="1"/>
    <xf numFmtId="10" fontId="0" fillId="8" borderId="0" xfId="0" applyNumberFormat="1" applyFill="1" applyProtection="1"/>
    <xf numFmtId="0" fontId="0" fillId="8" borderId="2" xfId="0" applyFont="1" applyFill="1" applyBorder="1" applyAlignment="1" applyProtection="1">
      <alignment horizontal="center" wrapText="1"/>
    </xf>
    <xf numFmtId="0" fontId="32" fillId="5" borderId="29" xfId="0" applyFont="1" applyFill="1" applyBorder="1" applyAlignment="1" applyProtection="1">
      <alignment vertical="center"/>
    </xf>
    <xf numFmtId="0" fontId="32" fillId="5" borderId="24" xfId="0" applyFont="1" applyFill="1" applyBorder="1" applyAlignment="1" applyProtection="1">
      <alignment vertical="center"/>
    </xf>
    <xf numFmtId="0" fontId="104" fillId="5" borderId="90" xfId="0" applyFont="1" applyFill="1" applyBorder="1" applyAlignment="1" applyProtection="1">
      <alignment horizontal="center" vertical="center"/>
      <protection locked="0"/>
    </xf>
    <xf numFmtId="0" fontId="23" fillId="10" borderId="11" xfId="0" applyFont="1" applyFill="1" applyBorder="1" applyAlignment="1" applyProtection="1">
      <alignment wrapText="1"/>
      <protection hidden="1"/>
    </xf>
    <xf numFmtId="0" fontId="23" fillId="10" borderId="2" xfId="0" applyFont="1" applyFill="1" applyBorder="1" applyAlignment="1" applyProtection="1">
      <alignment wrapText="1"/>
      <protection hidden="1"/>
    </xf>
    <xf numFmtId="0" fontId="9" fillId="4" borderId="35" xfId="0" applyFont="1" applyFill="1" applyBorder="1" applyAlignment="1" applyProtection="1">
      <alignment horizontal="left" vertical="top" wrapText="1"/>
    </xf>
    <xf numFmtId="0" fontId="7" fillId="3" borderId="46" xfId="0" applyFont="1" applyFill="1" applyBorder="1" applyAlignment="1" applyProtection="1">
      <alignment horizontal="left" vertical="top"/>
    </xf>
    <xf numFmtId="0" fontId="7" fillId="3" borderId="47" xfId="0" applyFont="1" applyFill="1" applyBorder="1" applyAlignment="1" applyProtection="1">
      <alignment horizontal="left" vertical="top"/>
    </xf>
    <xf numFmtId="0" fontId="7" fillId="3" borderId="46" xfId="0" applyFont="1" applyFill="1" applyBorder="1" applyAlignment="1" applyProtection="1">
      <alignment horizontal="left" vertical="center"/>
    </xf>
    <xf numFmtId="0" fontId="7" fillId="3" borderId="47" xfId="0" applyFont="1" applyFill="1" applyBorder="1" applyAlignment="1" applyProtection="1">
      <alignment horizontal="left" vertical="center"/>
    </xf>
    <xf numFmtId="0" fontId="32" fillId="8" borderId="2" xfId="0" applyFont="1" applyFill="1" applyBorder="1" applyAlignment="1" applyProtection="1">
      <alignment wrapText="1"/>
    </xf>
    <xf numFmtId="0" fontId="0" fillId="18" borderId="2" xfId="0" applyFill="1" applyBorder="1" applyAlignment="1" applyProtection="1">
      <alignment wrapText="1"/>
    </xf>
    <xf numFmtId="0" fontId="94" fillId="18" borderId="2" xfId="0" applyFont="1" applyFill="1" applyBorder="1" applyAlignment="1" applyProtection="1">
      <alignment wrapText="1"/>
    </xf>
    <xf numFmtId="0" fontId="94" fillId="18" borderId="3" xfId="0" applyFont="1" applyFill="1" applyBorder="1" applyAlignment="1" applyProtection="1">
      <alignment wrapText="1"/>
    </xf>
    <xf numFmtId="0" fontId="0" fillId="18" borderId="15" xfId="0" applyFill="1" applyBorder="1" applyAlignment="1" applyProtection="1">
      <alignment wrapText="1"/>
    </xf>
    <xf numFmtId="0" fontId="0" fillId="18" borderId="2" xfId="0" applyFont="1" applyFill="1" applyBorder="1" applyAlignment="1" applyProtection="1">
      <alignment wrapText="1"/>
    </xf>
    <xf numFmtId="0" fontId="0" fillId="12" borderId="5" xfId="0" applyFont="1" applyFill="1" applyBorder="1" applyAlignment="1" applyProtection="1">
      <alignment wrapText="1"/>
    </xf>
    <xf numFmtId="0" fontId="0" fillId="9" borderId="2" xfId="0" applyFill="1" applyBorder="1" applyAlignment="1" applyProtection="1">
      <alignment horizontal="left" indent="2"/>
    </xf>
    <xf numFmtId="0" fontId="0" fillId="12" borderId="3" xfId="0" applyFont="1" applyFill="1" applyBorder="1" applyAlignment="1" applyProtection="1">
      <alignment wrapText="1"/>
    </xf>
    <xf numFmtId="0" fontId="32" fillId="9" borderId="56" xfId="0" applyFont="1" applyFill="1" applyBorder="1" applyProtection="1"/>
    <xf numFmtId="0" fontId="0" fillId="12" borderId="15" xfId="0" applyFont="1" applyFill="1" applyBorder="1" applyAlignment="1" applyProtection="1">
      <alignment wrapText="1"/>
    </xf>
    <xf numFmtId="0" fontId="0" fillId="12" borderId="59" xfId="0" applyFont="1" applyFill="1" applyBorder="1" applyAlignment="1" applyProtection="1">
      <alignment wrapText="1"/>
    </xf>
    <xf numFmtId="0" fontId="0" fillId="9" borderId="2" xfId="0" applyFont="1" applyFill="1" applyBorder="1" applyAlignment="1" applyProtection="1">
      <alignment horizontal="left" indent="2"/>
    </xf>
    <xf numFmtId="0" fontId="32" fillId="0" borderId="56" xfId="0" applyFont="1" applyFill="1" applyBorder="1" applyProtection="1"/>
    <xf numFmtId="0" fontId="0" fillId="0" borderId="56" xfId="0" applyFont="1" applyFill="1" applyBorder="1" applyProtection="1"/>
    <xf numFmtId="0" fontId="0" fillId="0" borderId="58" xfId="0" applyFont="1" applyFill="1" applyBorder="1" applyProtection="1"/>
    <xf numFmtId="0" fontId="0" fillId="12" borderId="5" xfId="0" applyFont="1" applyFill="1" applyBorder="1" applyAlignment="1">
      <alignment wrapText="1"/>
    </xf>
    <xf numFmtId="0" fontId="0" fillId="0" borderId="59" xfId="0" applyFont="1" applyFill="1" applyBorder="1" applyAlignment="1" applyProtection="1">
      <alignment horizontal="left" indent="2"/>
    </xf>
    <xf numFmtId="0" fontId="32" fillId="20" borderId="2" xfId="0" applyFont="1" applyFill="1" applyBorder="1" applyAlignment="1" applyProtection="1">
      <alignment wrapText="1"/>
    </xf>
    <xf numFmtId="0" fontId="0" fillId="20" borderId="0" xfId="0" applyFill="1" applyAlignment="1" applyProtection="1"/>
    <xf numFmtId="0" fontId="0" fillId="12" borderId="54" xfId="0" applyFont="1" applyFill="1" applyBorder="1" applyAlignment="1" applyProtection="1">
      <alignment wrapText="1"/>
    </xf>
    <xf numFmtId="0" fontId="0" fillId="18" borderId="75" xfId="0" applyFill="1" applyBorder="1" applyProtection="1"/>
    <xf numFmtId="0" fontId="0" fillId="18" borderId="4" xfId="0" applyFill="1" applyBorder="1" applyProtection="1"/>
    <xf numFmtId="0" fontId="0" fillId="18" borderId="69" xfId="0" applyFill="1" applyBorder="1" applyProtection="1"/>
    <xf numFmtId="0" fontId="0" fillId="18" borderId="76" xfId="0" applyFill="1" applyBorder="1" applyProtection="1"/>
    <xf numFmtId="0" fontId="32" fillId="8" borderId="2" xfId="0" applyFont="1" applyFill="1" applyBorder="1" applyAlignment="1" applyProtection="1">
      <alignment horizontal="center" wrapText="1"/>
    </xf>
    <xf numFmtId="0" fontId="24" fillId="0" borderId="0" xfId="0" applyFont="1" applyAlignment="1" applyProtection="1">
      <alignment vertical="top"/>
    </xf>
    <xf numFmtId="10" fontId="0" fillId="18" borderId="0" xfId="0" applyNumberFormat="1" applyFill="1" applyProtection="1"/>
    <xf numFmtId="0" fontId="0" fillId="8" borderId="71" xfId="0" applyFill="1" applyBorder="1" applyProtection="1"/>
    <xf numFmtId="0" fontId="0" fillId="18" borderId="71" xfId="0" applyFill="1" applyBorder="1" applyProtection="1"/>
    <xf numFmtId="0" fontId="0" fillId="8" borderId="69" xfId="0" applyFill="1" applyBorder="1" applyProtection="1"/>
    <xf numFmtId="0" fontId="0" fillId="8" borderId="3" xfId="0" applyFill="1" applyBorder="1" applyProtection="1"/>
    <xf numFmtId="0" fontId="32" fillId="12" borderId="85" xfId="0" applyFont="1" applyFill="1" applyBorder="1" applyProtection="1"/>
    <xf numFmtId="0" fontId="32" fillId="12" borderId="15" xfId="0" applyFont="1" applyFill="1" applyBorder="1" applyProtection="1"/>
    <xf numFmtId="0" fontId="32" fillId="12" borderId="86" xfId="0" applyFont="1" applyFill="1" applyBorder="1" applyProtection="1"/>
    <xf numFmtId="0" fontId="0" fillId="12" borderId="85" xfId="0" applyFont="1" applyFill="1" applyBorder="1" applyProtection="1"/>
    <xf numFmtId="0" fontId="0" fillId="12" borderId="15" xfId="0" applyFont="1" applyFill="1" applyBorder="1" applyProtection="1"/>
    <xf numFmtId="0" fontId="0" fillId="12" borderId="86" xfId="0" applyFont="1" applyFill="1" applyBorder="1" applyProtection="1"/>
    <xf numFmtId="0" fontId="0" fillId="9" borderId="3" xfId="0" applyFill="1" applyBorder="1" applyProtection="1"/>
    <xf numFmtId="0" fontId="32" fillId="0" borderId="3" xfId="0" applyFont="1" applyBorder="1" applyProtection="1"/>
    <xf numFmtId="0" fontId="32" fillId="0" borderId="54" xfId="0" applyFont="1" applyBorder="1" applyProtection="1"/>
    <xf numFmtId="1" fontId="32" fillId="12" borderId="2" xfId="0" applyNumberFormat="1" applyFont="1" applyFill="1" applyBorder="1" applyProtection="1"/>
    <xf numFmtId="1" fontId="32" fillId="12" borderId="57" xfId="0" applyNumberFormat="1" applyFont="1" applyFill="1" applyBorder="1" applyProtection="1"/>
    <xf numFmtId="1" fontId="32" fillId="12" borderId="56" xfId="0" applyNumberFormat="1" applyFont="1" applyFill="1" applyBorder="1" applyProtection="1"/>
    <xf numFmtId="0" fontId="32" fillId="0" borderId="2" xfId="0" applyFont="1" applyBorder="1" applyProtection="1"/>
    <xf numFmtId="0" fontId="32" fillId="2" borderId="0" xfId="0" applyFont="1" applyFill="1" applyBorder="1" applyAlignment="1" applyProtection="1">
      <alignment vertical="center"/>
    </xf>
    <xf numFmtId="0" fontId="32" fillId="5" borderId="24" xfId="0" applyFont="1" applyFill="1" applyBorder="1" applyAlignment="1" applyProtection="1">
      <alignment horizontal="left" vertical="center" wrapText="1"/>
    </xf>
    <xf numFmtId="0" fontId="0" fillId="20" borderId="4" xfId="0" applyFill="1" applyBorder="1" applyProtection="1"/>
    <xf numFmtId="0" fontId="0" fillId="0" borderId="0" xfId="0"/>
    <xf numFmtId="0" fontId="50" fillId="0" borderId="0" xfId="0" applyFont="1"/>
    <xf numFmtId="0" fontId="51" fillId="4" borderId="0" xfId="0" applyFont="1" applyFill="1" applyBorder="1" applyAlignment="1">
      <alignment horizontal="left" vertical="top" wrapText="1"/>
    </xf>
    <xf numFmtId="0" fontId="51" fillId="4" borderId="0" xfId="0" applyFont="1" applyFill="1" applyBorder="1" applyAlignment="1">
      <alignment horizontal="center" vertical="top" wrapText="1"/>
    </xf>
    <xf numFmtId="0" fontId="50" fillId="0" borderId="0" xfId="0" applyFont="1" applyBorder="1"/>
    <xf numFmtId="0" fontId="51" fillId="0" borderId="0" xfId="0" applyFont="1" applyFill="1" applyBorder="1"/>
    <xf numFmtId="0" fontId="50" fillId="0" borderId="0" xfId="0" applyFont="1" applyFill="1" applyBorder="1"/>
    <xf numFmtId="0" fontId="54" fillId="0" borderId="119" xfId="0" applyFont="1" applyBorder="1" applyProtection="1">
      <protection locked="0"/>
    </xf>
    <xf numFmtId="0" fontId="54" fillId="0" borderId="123" xfId="0" applyFont="1" applyBorder="1" applyProtection="1">
      <protection locked="0"/>
    </xf>
    <xf numFmtId="0" fontId="54" fillId="0" borderId="123" xfId="0" applyFont="1" applyBorder="1" applyAlignment="1" applyProtection="1">
      <alignment wrapText="1"/>
      <protection locked="0"/>
    </xf>
    <xf numFmtId="0" fontId="54" fillId="0" borderId="123" xfId="0" applyFont="1" applyFill="1" applyBorder="1" applyProtection="1">
      <protection locked="0"/>
    </xf>
    <xf numFmtId="0" fontId="98" fillId="4" borderId="0" xfId="0" applyFont="1" applyFill="1" applyBorder="1" applyAlignment="1">
      <alignment horizontal="center" vertical="center" wrapText="1"/>
    </xf>
    <xf numFmtId="0" fontId="54" fillId="0" borderId="0" xfId="0" applyFont="1" applyFill="1" applyBorder="1" applyProtection="1">
      <protection locked="0"/>
    </xf>
    <xf numFmtId="0" fontId="55" fillId="0" borderId="123" xfId="0" applyFont="1" applyBorder="1" applyProtection="1">
      <protection locked="0"/>
    </xf>
    <xf numFmtId="0" fontId="54" fillId="0" borderId="0" xfId="0" applyFont="1" applyBorder="1" applyProtection="1">
      <protection locked="0"/>
    </xf>
    <xf numFmtId="0" fontId="55" fillId="0" borderId="123" xfId="0" applyFont="1" applyFill="1" applyBorder="1" applyProtection="1">
      <protection locked="0"/>
    </xf>
    <xf numFmtId="0" fontId="55" fillId="0" borderId="0" xfId="0" applyFont="1" applyFill="1" applyBorder="1" applyProtection="1">
      <protection locked="0"/>
    </xf>
    <xf numFmtId="0" fontId="55" fillId="0" borderId="0" xfId="0" applyFont="1" applyBorder="1" applyProtection="1">
      <protection locked="0"/>
    </xf>
    <xf numFmtId="0" fontId="55" fillId="0" borderId="148" xfId="0" applyFont="1" applyBorder="1" applyAlignment="1" applyProtection="1">
      <protection locked="0"/>
    </xf>
    <xf numFmtId="0" fontId="103" fillId="5" borderId="142" xfId="0" applyFont="1" applyFill="1" applyBorder="1" applyProtection="1">
      <protection locked="0"/>
    </xf>
    <xf numFmtId="0" fontId="103" fillId="5" borderId="141" xfId="0" applyFont="1" applyFill="1" applyBorder="1" applyProtection="1">
      <protection locked="0"/>
    </xf>
    <xf numFmtId="1" fontId="32" fillId="12" borderId="57" xfId="0" applyNumberFormat="1" applyFont="1" applyFill="1" applyBorder="1" applyAlignment="1" applyProtection="1">
      <alignment horizontal="right"/>
    </xf>
    <xf numFmtId="1" fontId="32" fillId="12" borderId="56" xfId="0" applyNumberFormat="1" applyFont="1" applyFill="1" applyBorder="1" applyAlignment="1" applyProtection="1">
      <alignment horizontal="right"/>
    </xf>
    <xf numFmtId="1" fontId="32" fillId="12" borderId="2" xfId="0" applyNumberFormat="1" applyFont="1" applyFill="1" applyBorder="1" applyAlignment="1" applyProtection="1">
      <alignment horizontal="right"/>
    </xf>
    <xf numFmtId="0" fontId="0" fillId="20" borderId="56" xfId="0" applyFill="1" applyBorder="1" applyAlignment="1" applyProtection="1">
      <alignment horizontal="right"/>
    </xf>
    <xf numFmtId="1" fontId="32" fillId="12" borderId="61" xfId="0" applyNumberFormat="1" applyFont="1" applyFill="1" applyBorder="1" applyAlignment="1" applyProtection="1">
      <alignment horizontal="right"/>
    </xf>
    <xf numFmtId="1" fontId="32" fillId="12" borderId="5" xfId="0" applyNumberFormat="1" applyFont="1" applyFill="1" applyBorder="1" applyAlignment="1" applyProtection="1">
      <alignment horizontal="right"/>
    </xf>
    <xf numFmtId="1" fontId="0" fillId="12" borderId="2" xfId="0" applyNumberFormat="1" applyFont="1" applyFill="1" applyBorder="1" applyProtection="1"/>
    <xf numFmtId="1" fontId="0" fillId="12" borderId="57" xfId="0" applyNumberFormat="1" applyFont="1" applyFill="1" applyBorder="1" applyProtection="1"/>
    <xf numFmtId="1" fontId="0" fillId="12" borderId="56" xfId="0" applyNumberFormat="1" applyFont="1" applyFill="1" applyBorder="1" applyProtection="1"/>
    <xf numFmtId="0" fontId="24" fillId="0" borderId="2" xfId="0" applyFont="1" applyFill="1" applyBorder="1" applyAlignment="1" applyProtection="1">
      <alignment horizontal="left" indent="2"/>
    </xf>
    <xf numFmtId="0" fontId="24" fillId="2" borderId="0" xfId="0" applyFont="1" applyFill="1" applyBorder="1" applyProtection="1">
      <protection hidden="1"/>
    </xf>
    <xf numFmtId="0" fontId="0" fillId="0" borderId="86" xfId="0" applyBorder="1" applyProtection="1"/>
    <xf numFmtId="0" fontId="46" fillId="0" borderId="3" xfId="0" applyFont="1" applyBorder="1" applyProtection="1"/>
    <xf numFmtId="0" fontId="24" fillId="2" borderId="1" xfId="0" applyFont="1" applyFill="1" applyBorder="1" applyProtection="1">
      <protection hidden="1"/>
    </xf>
    <xf numFmtId="0" fontId="7" fillId="3" borderId="102" xfId="0" applyFont="1" applyFill="1" applyBorder="1" applyAlignment="1" applyProtection="1">
      <alignment horizontal="left" vertical="center"/>
    </xf>
    <xf numFmtId="0" fontId="7" fillId="3" borderId="150" xfId="0" applyFont="1" applyFill="1" applyBorder="1" applyAlignment="1" applyProtection="1">
      <alignment horizontal="left" vertical="center"/>
    </xf>
    <xf numFmtId="0" fontId="7" fillId="3" borderId="27" xfId="0" applyFont="1" applyFill="1" applyBorder="1" applyAlignment="1" applyProtection="1">
      <alignment horizontal="left" vertical="center"/>
    </xf>
    <xf numFmtId="0" fontId="0" fillId="0" borderId="7" xfId="0" applyFill="1" applyBorder="1" applyAlignment="1" applyProtection="1">
      <alignment horizontal="right"/>
    </xf>
    <xf numFmtId="1" fontId="32" fillId="20" borderId="2" xfId="0" applyNumberFormat="1" applyFont="1" applyFill="1" applyBorder="1" applyAlignment="1" applyProtection="1">
      <alignment horizontal="right"/>
    </xf>
    <xf numFmtId="1" fontId="32" fillId="20" borderId="57" xfId="0" applyNumberFormat="1" applyFont="1" applyFill="1" applyBorder="1" applyAlignment="1" applyProtection="1">
      <alignment horizontal="right"/>
    </xf>
    <xf numFmtId="0" fontId="0" fillId="22" borderId="2" xfId="0" applyFont="1" applyFill="1" applyBorder="1" applyAlignment="1" applyProtection="1">
      <alignment wrapText="1"/>
    </xf>
    <xf numFmtId="0" fontId="0" fillId="20" borderId="71" xfId="0" applyFill="1" applyBorder="1" applyProtection="1"/>
    <xf numFmtId="0" fontId="0" fillId="9" borderId="56" xfId="0" applyFill="1" applyBorder="1" applyProtection="1"/>
    <xf numFmtId="0" fontId="0" fillId="18" borderId="0" xfId="0" applyFill="1" applyAlignment="1"/>
    <xf numFmtId="0" fontId="24" fillId="0" borderId="11" xfId="0" applyFont="1" applyBorder="1" applyProtection="1">
      <protection hidden="1"/>
    </xf>
    <xf numFmtId="0" fontId="55" fillId="0" borderId="148" xfId="0" applyFont="1" applyBorder="1" applyAlignment="1" applyProtection="1">
      <alignment vertical="top"/>
      <protection locked="0"/>
    </xf>
    <xf numFmtId="0" fontId="55" fillId="0" borderId="0" xfId="0" applyFont="1" applyBorder="1" applyAlignment="1" applyProtection="1">
      <alignment vertical="top"/>
      <protection locked="0"/>
    </xf>
    <xf numFmtId="0" fontId="55" fillId="0" borderId="12" xfId="0" applyFont="1" applyBorder="1" applyAlignment="1" applyProtection="1">
      <alignment vertical="top"/>
      <protection locked="0"/>
    </xf>
    <xf numFmtId="0" fontId="55" fillId="0" borderId="148" xfId="0" applyFont="1" applyBorder="1" applyAlignment="1" applyProtection="1">
      <alignment vertical="top" wrapText="1"/>
      <protection locked="0"/>
    </xf>
    <xf numFmtId="0" fontId="55" fillId="0" borderId="12" xfId="0" applyFont="1" applyBorder="1" applyAlignment="1" applyProtection="1">
      <alignment vertical="top" wrapText="1"/>
      <protection locked="0"/>
    </xf>
    <xf numFmtId="0" fontId="51" fillId="0" borderId="148" xfId="0" applyFont="1" applyBorder="1" applyAlignment="1">
      <alignment vertical="top"/>
    </xf>
    <xf numFmtId="0" fontId="51" fillId="0" borderId="0" xfId="0" applyFont="1" applyAlignment="1">
      <alignment vertical="top"/>
    </xf>
    <xf numFmtId="0" fontId="51" fillId="0" borderId="12" xfId="0" applyFont="1" applyBorder="1" applyAlignment="1">
      <alignment vertical="top"/>
    </xf>
    <xf numFmtId="0" fontId="55" fillId="0" borderId="0" xfId="0" applyFont="1" applyBorder="1" applyAlignment="1" applyProtection="1">
      <protection locked="0"/>
    </xf>
    <xf numFmtId="0" fontId="0" fillId="20" borderId="69" xfId="0" applyFill="1" applyBorder="1" applyProtection="1"/>
    <xf numFmtId="0" fontId="0" fillId="20" borderId="76" xfId="0" applyFill="1" applyBorder="1" applyProtection="1"/>
    <xf numFmtId="0" fontId="0" fillId="20" borderId="75" xfId="0" applyFill="1" applyBorder="1" applyProtection="1"/>
    <xf numFmtId="166" fontId="0" fillId="20" borderId="69" xfId="0" applyNumberFormat="1" applyFill="1" applyBorder="1" applyProtection="1"/>
    <xf numFmtId="0" fontId="0" fillId="0" borderId="0" xfId="0"/>
    <xf numFmtId="166" fontId="0" fillId="8" borderId="69" xfId="0" applyNumberFormat="1" applyFill="1" applyBorder="1" applyProtection="1"/>
    <xf numFmtId="166" fontId="0" fillId="18" borderId="69" xfId="0" applyNumberFormat="1" applyFill="1" applyBorder="1" applyProtection="1"/>
    <xf numFmtId="0" fontId="0" fillId="0" borderId="0" xfId="0"/>
    <xf numFmtId="0" fontId="0" fillId="0" borderId="0" xfId="0"/>
    <xf numFmtId="0" fontId="51" fillId="4" borderId="0" xfId="0" applyFont="1" applyFill="1" applyBorder="1" applyAlignment="1">
      <alignment horizontal="center" vertical="top" wrapText="1"/>
    </xf>
    <xf numFmtId="0" fontId="51" fillId="0" borderId="0" xfId="0" applyFont="1"/>
    <xf numFmtId="0" fontId="51" fillId="0" borderId="0" xfId="0" applyFont="1" applyAlignment="1">
      <alignment horizontal="center"/>
    </xf>
    <xf numFmtId="0" fontId="100" fillId="0" borderId="2" xfId="3" applyFont="1" applyFill="1" applyBorder="1"/>
    <xf numFmtId="0" fontId="100" fillId="0" borderId="2" xfId="3" applyFont="1" applyFill="1" applyBorder="1" applyAlignment="1">
      <alignment vertical="top"/>
    </xf>
    <xf numFmtId="0" fontId="101" fillId="0" borderId="2" xfId="3" applyFont="1" applyFill="1" applyBorder="1"/>
    <xf numFmtId="0" fontId="101" fillId="0" borderId="2" xfId="3" applyFont="1" applyFill="1" applyBorder="1" applyAlignment="1">
      <alignment vertical="top"/>
    </xf>
    <xf numFmtId="0" fontId="100" fillId="0" borderId="2" xfId="3" applyFont="1" applyFill="1" applyBorder="1" applyAlignment="1">
      <alignment horizontal="right"/>
    </xf>
    <xf numFmtId="0" fontId="100" fillId="0" borderId="4" xfId="3" applyFont="1" applyFill="1" applyBorder="1"/>
    <xf numFmtId="0" fontId="100" fillId="0" borderId="0" xfId="3" applyFont="1" applyFill="1" applyBorder="1"/>
    <xf numFmtId="0" fontId="55" fillId="0" borderId="0" xfId="0" applyFont="1" applyAlignment="1" applyProtection="1">
      <alignment vertical="top"/>
      <protection locked="0"/>
    </xf>
    <xf numFmtId="0" fontId="55" fillId="0" borderId="0" xfId="0" applyFont="1" applyAlignment="1" applyProtection="1">
      <alignment vertical="top" wrapText="1"/>
      <protection locked="0"/>
    </xf>
    <xf numFmtId="0" fontId="55" fillId="0" borderId="0" xfId="0" applyFont="1" applyProtection="1">
      <protection locked="0"/>
    </xf>
    <xf numFmtId="0" fontId="51" fillId="0" borderId="2" xfId="0" applyFont="1" applyBorder="1" applyAlignment="1">
      <alignment horizontal="center"/>
    </xf>
    <xf numFmtId="0" fontId="102" fillId="0" borderId="2" xfId="0" applyFont="1" applyBorder="1" applyAlignment="1">
      <alignment horizontal="center"/>
    </xf>
    <xf numFmtId="0" fontId="102" fillId="0" borderId="2" xfId="0" applyFont="1" applyBorder="1" applyAlignment="1">
      <alignment horizontal="center" vertical="top"/>
    </xf>
    <xf numFmtId="0" fontId="102" fillId="0" borderId="2" xfId="0" applyFont="1" applyBorder="1" applyAlignment="1">
      <alignment horizontal="center" wrapText="1"/>
    </xf>
    <xf numFmtId="0" fontId="51" fillId="0" borderId="2" xfId="0" applyFont="1" applyBorder="1" applyAlignment="1">
      <alignment horizontal="center" wrapText="1"/>
    </xf>
    <xf numFmtId="0" fontId="51" fillId="0" borderId="2" xfId="0" applyFont="1" applyBorder="1" applyAlignment="1">
      <alignment horizontal="center" vertical="top"/>
    </xf>
    <xf numFmtId="0" fontId="51" fillId="0" borderId="4" xfId="0" applyFont="1" applyBorder="1" applyAlignment="1">
      <alignment horizontal="center"/>
    </xf>
    <xf numFmtId="0" fontId="55" fillId="0" borderId="12" xfId="0" applyFont="1" applyBorder="1" applyProtection="1">
      <protection locked="0"/>
    </xf>
    <xf numFmtId="0" fontId="0" fillId="0" borderId="73" xfId="0" applyBorder="1" applyProtection="1"/>
    <xf numFmtId="0" fontId="32" fillId="8" borderId="2" xfId="0" applyFont="1" applyFill="1" applyBorder="1" applyAlignment="1" applyProtection="1">
      <alignment horizontal="right" wrapText="1"/>
    </xf>
    <xf numFmtId="0" fontId="26" fillId="20" borderId="2" xfId="0" applyFont="1" applyFill="1" applyBorder="1" applyAlignment="1" applyProtection="1">
      <alignment horizontal="center" vertical="center"/>
    </xf>
    <xf numFmtId="0" fontId="107" fillId="4" borderId="0" xfId="0" applyFont="1" applyFill="1" applyBorder="1" applyAlignment="1" applyProtection="1">
      <alignment vertical="top" wrapText="1"/>
      <protection hidden="1"/>
    </xf>
    <xf numFmtId="0" fontId="24" fillId="4" borderId="0" xfId="0" applyFont="1" applyFill="1" applyBorder="1" applyAlignment="1" applyProtection="1">
      <alignment horizontal="left" vertical="center" wrapText="1"/>
      <protection hidden="1"/>
    </xf>
    <xf numFmtId="0" fontId="26" fillId="20" borderId="7" xfId="0" applyFont="1" applyFill="1" applyBorder="1" applyAlignment="1" applyProtection="1">
      <alignment horizontal="center" vertical="center"/>
    </xf>
    <xf numFmtId="0" fontId="0" fillId="5" borderId="24" xfId="0" applyFont="1" applyFill="1" applyBorder="1" applyAlignment="1" applyProtection="1">
      <alignment horizontal="left" vertical="center" wrapText="1" indent="2"/>
    </xf>
    <xf numFmtId="0" fontId="23" fillId="4" borderId="0" xfId="0" applyFont="1" applyFill="1" applyAlignment="1" applyProtection="1">
      <alignment vertical="center"/>
    </xf>
    <xf numFmtId="0" fontId="26" fillId="0" borderId="7" xfId="0" applyFont="1" applyFill="1" applyBorder="1" applyAlignment="1" applyProtection="1">
      <alignment horizontal="center" vertical="center"/>
      <protection locked="0"/>
    </xf>
    <xf numFmtId="0" fontId="25" fillId="6" borderId="124" xfId="0" applyFont="1" applyFill="1" applyBorder="1" applyAlignment="1" applyProtection="1">
      <alignment vertical="center"/>
    </xf>
    <xf numFmtId="0" fontId="23" fillId="4" borderId="0" xfId="0" applyFont="1" applyFill="1" applyBorder="1" applyAlignment="1" applyProtection="1">
      <alignment horizontal="right" vertical="center"/>
      <protection hidden="1"/>
    </xf>
    <xf numFmtId="0" fontId="23" fillId="4" borderId="0" xfId="0" applyFont="1" applyFill="1" applyBorder="1" applyAlignment="1" applyProtection="1">
      <alignment horizontal="right" vertical="center" wrapText="1"/>
      <protection hidden="1"/>
    </xf>
    <xf numFmtId="0" fontId="23" fillId="4" borderId="0" xfId="0" applyFont="1" applyFill="1" applyAlignment="1" applyProtection="1">
      <alignment horizontal="right" vertical="center"/>
    </xf>
    <xf numFmtId="0" fontId="24" fillId="4" borderId="0" xfId="0" applyFont="1" applyFill="1" applyBorder="1" applyAlignment="1" applyProtection="1">
      <alignment horizontal="right" wrapText="1"/>
      <protection hidden="1"/>
    </xf>
    <xf numFmtId="0" fontId="24" fillId="4" borderId="0" xfId="0" applyFont="1" applyFill="1" applyAlignment="1" applyProtection="1">
      <alignment horizontal="right"/>
      <protection hidden="1"/>
    </xf>
    <xf numFmtId="0" fontId="103" fillId="5" borderId="24" xfId="0" applyFont="1" applyFill="1" applyBorder="1" applyAlignment="1" applyProtection="1">
      <alignment horizontal="left" vertical="center"/>
    </xf>
    <xf numFmtId="0" fontId="104" fillId="5" borderId="88" xfId="0" applyFont="1" applyFill="1" applyBorder="1" applyAlignment="1" applyProtection="1">
      <alignment horizontal="left" vertical="center" wrapText="1"/>
    </xf>
    <xf numFmtId="0" fontId="0" fillId="5" borderId="24" xfId="0" applyFont="1" applyFill="1" applyBorder="1" applyAlignment="1" applyProtection="1">
      <alignment vertical="center"/>
    </xf>
    <xf numFmtId="0" fontId="32" fillId="5" borderId="88" xfId="0" applyFont="1" applyFill="1" applyBorder="1" applyAlignment="1" applyProtection="1">
      <alignment vertical="center"/>
    </xf>
    <xf numFmtId="0" fontId="28" fillId="6" borderId="0" xfId="0" applyFont="1" applyFill="1" applyBorder="1" applyAlignment="1" applyProtection="1">
      <alignment vertical="center"/>
    </xf>
    <xf numFmtId="0" fontId="0" fillId="2" borderId="0" xfId="0" applyFill="1" applyBorder="1" applyAlignment="1" applyProtection="1">
      <alignment vertical="center" wrapText="1"/>
    </xf>
    <xf numFmtId="0" fontId="28" fillId="6" borderId="0" xfId="0" applyFont="1" applyFill="1" applyBorder="1" applyAlignment="1" applyProtection="1">
      <alignment vertical="center" wrapText="1"/>
    </xf>
    <xf numFmtId="0" fontId="0" fillId="5" borderId="24" xfId="0" applyFont="1" applyFill="1" applyBorder="1" applyAlignment="1" applyProtection="1">
      <alignment vertical="center" wrapText="1"/>
    </xf>
    <xf numFmtId="0" fontId="32" fillId="5" borderId="24" xfId="0" applyFont="1" applyFill="1" applyBorder="1" applyAlignment="1" applyProtection="1">
      <alignment vertical="center" wrapText="1"/>
    </xf>
    <xf numFmtId="0" fontId="32" fillId="5" borderId="88" xfId="0" applyFont="1" applyFill="1" applyBorder="1" applyAlignment="1" applyProtection="1">
      <alignment vertical="center" wrapText="1"/>
    </xf>
    <xf numFmtId="0" fontId="103" fillId="5" borderId="24" xfId="0" applyFont="1" applyFill="1" applyBorder="1" applyAlignment="1" applyProtection="1">
      <alignment vertical="center"/>
    </xf>
    <xf numFmtId="0" fontId="103" fillId="5" borderId="24" xfId="0" applyFont="1" applyFill="1" applyBorder="1" applyAlignment="1" applyProtection="1">
      <alignment vertical="center" wrapText="1"/>
    </xf>
    <xf numFmtId="164" fontId="26" fillId="5" borderId="25" xfId="0" applyNumberFormat="1" applyFont="1" applyFill="1" applyBorder="1" applyAlignment="1" applyProtection="1">
      <alignment horizontal="center" vertical="center"/>
    </xf>
    <xf numFmtId="164" fontId="37" fillId="5" borderId="34" xfId="0" applyNumberFormat="1" applyFont="1" applyFill="1" applyBorder="1" applyAlignment="1" applyProtection="1">
      <alignment horizontal="center" vertical="center"/>
    </xf>
    <xf numFmtId="0" fontId="0" fillId="2" borderId="0" xfId="0" applyFill="1" applyAlignment="1" applyProtection="1">
      <alignment horizontal="left" vertical="top" wrapText="1"/>
      <protection locked="0"/>
    </xf>
    <xf numFmtId="0" fontId="26" fillId="0" borderId="36" xfId="0" applyFont="1" applyBorder="1" applyAlignment="1" applyProtection="1">
      <alignment horizontal="left" vertical="top" wrapText="1"/>
      <protection locked="0"/>
    </xf>
    <xf numFmtId="0" fontId="26" fillId="0" borderId="2" xfId="0" applyFont="1" applyFill="1" applyBorder="1" applyAlignment="1" applyProtection="1">
      <alignment horizontal="left" vertical="center" wrapText="1"/>
      <protection locked="0"/>
    </xf>
    <xf numFmtId="0" fontId="0" fillId="4" borderId="0" xfId="0" applyFill="1" applyAlignment="1" applyProtection="1">
      <alignment vertical="top" wrapText="1"/>
      <protection locked="0"/>
    </xf>
    <xf numFmtId="0" fontId="0" fillId="8" borderId="4" xfId="0" applyFill="1" applyBorder="1" applyProtection="1"/>
    <xf numFmtId="0" fontId="0" fillId="8" borderId="7" xfId="0" applyFill="1" applyBorder="1" applyProtection="1"/>
    <xf numFmtId="0" fontId="0" fillId="18" borderId="5" xfId="0" applyFill="1" applyBorder="1" applyProtection="1"/>
    <xf numFmtId="0" fontId="0" fillId="8" borderId="9" xfId="0" applyFill="1" applyBorder="1" applyProtection="1"/>
    <xf numFmtId="0" fontId="0" fillId="18" borderId="7" xfId="0" applyFill="1" applyBorder="1" applyProtection="1"/>
    <xf numFmtId="0" fontId="0" fillId="0" borderId="10" xfId="0" applyBorder="1" applyProtection="1"/>
    <xf numFmtId="0" fontId="0" fillId="13" borderId="99" xfId="0" applyFill="1" applyBorder="1" applyProtection="1"/>
    <xf numFmtId="0" fontId="0" fillId="9" borderId="81" xfId="0" applyFill="1" applyBorder="1" applyProtection="1"/>
    <xf numFmtId="0" fontId="0" fillId="8" borderId="152" xfId="0" applyFill="1" applyBorder="1" applyProtection="1"/>
    <xf numFmtId="0" fontId="94" fillId="0" borderId="2" xfId="0" applyFont="1" applyFill="1" applyBorder="1" applyAlignment="1" applyProtection="1">
      <alignment horizontal="left" indent="2"/>
    </xf>
    <xf numFmtId="0" fontId="94" fillId="0" borderId="0" xfId="0" applyFont="1"/>
    <xf numFmtId="0" fontId="108" fillId="0" borderId="119" xfId="0" applyFont="1" applyBorder="1" applyProtection="1">
      <protection locked="0"/>
    </xf>
    <xf numFmtId="0" fontId="109" fillId="0" borderId="148" xfId="0" applyFont="1" applyBorder="1" applyAlignment="1" applyProtection="1">
      <alignment vertical="top"/>
      <protection locked="0"/>
    </xf>
    <xf numFmtId="0" fontId="0" fillId="8" borderId="61" xfId="0" applyFill="1" applyBorder="1" applyProtection="1"/>
    <xf numFmtId="0" fontId="32" fillId="0" borderId="5" xfId="0" applyFont="1" applyBorder="1" applyProtection="1"/>
    <xf numFmtId="0" fontId="0" fillId="12" borderId="5" xfId="0" applyFill="1" applyBorder="1" applyAlignment="1" applyProtection="1">
      <alignment wrapText="1"/>
    </xf>
    <xf numFmtId="0" fontId="0" fillId="12" borderId="62" xfId="0" applyFill="1" applyBorder="1" applyAlignment="1" applyProtection="1">
      <alignment wrapText="1"/>
    </xf>
    <xf numFmtId="0" fontId="0" fillId="12" borderId="61" xfId="0" applyFill="1" applyBorder="1" applyProtection="1"/>
    <xf numFmtId="0" fontId="0" fillId="12" borderId="5" xfId="0" applyFill="1" applyBorder="1" applyProtection="1"/>
    <xf numFmtId="0" fontId="0" fillId="12" borderId="62" xfId="0" applyFill="1" applyBorder="1" applyProtection="1"/>
    <xf numFmtId="0" fontId="0" fillId="0" borderId="55" xfId="0" applyFill="1" applyBorder="1" applyAlignment="1" applyProtection="1">
      <alignment horizontal="right"/>
    </xf>
    <xf numFmtId="0" fontId="26" fillId="4" borderId="5" xfId="0" applyFont="1" applyFill="1" applyBorder="1" applyAlignment="1" applyProtection="1">
      <alignment horizontal="left" vertical="center" wrapText="1"/>
      <protection locked="0"/>
    </xf>
    <xf numFmtId="0" fontId="26" fillId="4" borderId="1" xfId="0" applyFont="1" applyFill="1" applyBorder="1" applyAlignment="1" applyProtection="1">
      <alignment horizontal="left" vertical="center"/>
      <protection locked="0"/>
    </xf>
    <xf numFmtId="0" fontId="26" fillId="0" borderId="153" xfId="0" applyFont="1" applyFill="1" applyBorder="1" applyAlignment="1" applyProtection="1">
      <alignment horizontal="left" vertical="top" wrapText="1"/>
      <protection locked="0"/>
    </xf>
    <xf numFmtId="0" fontId="0" fillId="23" borderId="56" xfId="0" applyFill="1" applyBorder="1" applyAlignment="1" applyProtection="1">
      <alignment horizontal="right"/>
    </xf>
    <xf numFmtId="0" fontId="110" fillId="0" borderId="2" xfId="0" applyFont="1" applyFill="1" applyBorder="1" applyAlignment="1" applyProtection="1">
      <alignment horizontal="left" indent="2"/>
    </xf>
    <xf numFmtId="0" fontId="106" fillId="3" borderId="101" xfId="0" applyFont="1" applyFill="1" applyBorder="1" applyAlignment="1" applyProtection="1">
      <alignment horizontal="right" vertical="center" wrapText="1"/>
      <protection hidden="1"/>
    </xf>
    <xf numFmtId="0" fontId="0" fillId="22" borderId="15" xfId="0" applyFont="1" applyFill="1" applyBorder="1" applyAlignment="1" applyProtection="1">
      <alignment wrapText="1"/>
    </xf>
    <xf numFmtId="0" fontId="32" fillId="13" borderId="65" xfId="0" applyFont="1" applyFill="1" applyBorder="1" applyAlignment="1" applyProtection="1">
      <alignment wrapText="1"/>
    </xf>
    <xf numFmtId="0" fontId="94" fillId="0" borderId="3" xfId="0" applyFont="1" applyFill="1" applyBorder="1" applyAlignment="1" applyProtection="1">
      <alignment horizontal="left" indent="2"/>
    </xf>
    <xf numFmtId="0" fontId="0" fillId="12" borderId="55" xfId="0" applyFont="1" applyFill="1" applyBorder="1" applyAlignment="1" applyProtection="1">
      <alignment wrapText="1"/>
    </xf>
    <xf numFmtId="0" fontId="0" fillId="12" borderId="57" xfId="0" applyFont="1" applyFill="1" applyBorder="1" applyAlignment="1" applyProtection="1">
      <alignment wrapText="1"/>
    </xf>
    <xf numFmtId="0" fontId="0" fillId="12" borderId="60" xfId="0" applyFont="1" applyFill="1" applyBorder="1" applyAlignment="1" applyProtection="1">
      <alignment wrapText="1"/>
    </xf>
    <xf numFmtId="0" fontId="94" fillId="0" borderId="2" xfId="0" applyFont="1" applyBorder="1" applyProtection="1"/>
    <xf numFmtId="9" fontId="0" fillId="0" borderId="2" xfId="0" applyNumberFormat="1" applyBorder="1"/>
    <xf numFmtId="0" fontId="0" fillId="19" borderId="2" xfId="0" applyFill="1" applyBorder="1"/>
    <xf numFmtId="164" fontId="0" fillId="0" borderId="2" xfId="0" applyNumberFormat="1" applyBorder="1"/>
    <xf numFmtId="164" fontId="65" fillId="5" borderId="34" xfId="2" applyNumberFormat="1" applyFont="1" applyFill="1" applyBorder="1" applyAlignment="1" applyProtection="1">
      <alignment horizontal="center" vertical="center"/>
      <protection hidden="1"/>
    </xf>
    <xf numFmtId="164" fontId="64" fillId="5" borderId="28" xfId="2" applyNumberFormat="1" applyFont="1" applyFill="1" applyBorder="1" applyAlignment="1" applyProtection="1">
      <alignment horizontal="center" vertical="center"/>
      <protection hidden="1"/>
    </xf>
    <xf numFmtId="9" fontId="77" fillId="5" borderId="154" xfId="2" applyNumberFormat="1" applyFont="1" applyFill="1" applyBorder="1" applyAlignment="1" applyProtection="1">
      <alignment horizontal="center" vertical="center"/>
      <protection hidden="1"/>
    </xf>
    <xf numFmtId="9" fontId="77" fillId="5" borderId="155" xfId="2" applyNumberFormat="1" applyFont="1" applyFill="1" applyBorder="1" applyAlignment="1" applyProtection="1">
      <alignment horizontal="center" vertical="center"/>
      <protection hidden="1"/>
    </xf>
    <xf numFmtId="164" fontId="65" fillId="5" borderId="155" xfId="2" applyNumberFormat="1" applyFont="1" applyFill="1" applyBorder="1" applyAlignment="1" applyProtection="1">
      <alignment horizontal="center" vertical="center"/>
      <protection hidden="1"/>
    </xf>
    <xf numFmtId="9" fontId="67" fillId="3" borderId="155" xfId="0" applyNumberFormat="1" applyFont="1" applyFill="1" applyBorder="1" applyAlignment="1" applyProtection="1">
      <alignment horizontal="right" vertical="center"/>
      <protection hidden="1"/>
    </xf>
    <xf numFmtId="0" fontId="67" fillId="3" borderId="156" xfId="0" applyFont="1" applyFill="1" applyBorder="1" applyProtection="1">
      <protection hidden="1"/>
    </xf>
    <xf numFmtId="0" fontId="16" fillId="3" borderId="157" xfId="0" applyFont="1" applyFill="1" applyBorder="1" applyAlignment="1" applyProtection="1">
      <alignment horizontal="right" vertical="center"/>
      <protection hidden="1"/>
    </xf>
    <xf numFmtId="0" fontId="23" fillId="10" borderId="2" xfId="0" applyFont="1" applyFill="1" applyBorder="1" applyProtection="1"/>
    <xf numFmtId="0" fontId="32" fillId="0" borderId="2" xfId="0" applyFont="1" applyFill="1" applyBorder="1" applyProtection="1"/>
    <xf numFmtId="0" fontId="0" fillId="0" borderId="2" xfId="0" applyFont="1" applyFill="1" applyBorder="1" applyProtection="1"/>
    <xf numFmtId="0" fontId="90" fillId="10" borderId="2" xfId="0" applyFont="1" applyFill="1" applyBorder="1" applyProtection="1"/>
    <xf numFmtId="0" fontId="0" fillId="0" borderId="72" xfId="0" applyBorder="1" applyProtection="1"/>
    <xf numFmtId="0" fontId="7" fillId="3" borderId="40"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165" fontId="7" fillId="3" borderId="158" xfId="0" applyNumberFormat="1" applyFont="1" applyFill="1" applyBorder="1" applyAlignment="1" applyProtection="1">
      <alignment horizontal="left" vertical="center"/>
    </xf>
    <xf numFmtId="0" fontId="0" fillId="0" borderId="27" xfId="0" applyBorder="1" applyProtection="1"/>
    <xf numFmtId="0" fontId="16" fillId="3" borderId="105" xfId="0" applyFont="1" applyFill="1" applyBorder="1" applyAlignment="1" applyProtection="1">
      <alignment horizontal="right" vertical="center"/>
      <protection hidden="1"/>
    </xf>
    <xf numFmtId="0" fontId="0" fillId="24" borderId="56" xfId="0" applyFill="1" applyBorder="1" applyAlignment="1" applyProtection="1">
      <alignment horizontal="right"/>
    </xf>
    <xf numFmtId="0" fontId="0" fillId="24" borderId="5" xfId="0" applyFill="1" applyBorder="1" applyProtection="1"/>
    <xf numFmtId="0" fontId="32" fillId="0" borderId="15" xfId="0" applyFont="1" applyFill="1" applyBorder="1" applyProtection="1"/>
    <xf numFmtId="0" fontId="32" fillId="0" borderId="3" xfId="0" applyFont="1" applyBorder="1" applyAlignment="1" applyProtection="1">
      <alignment wrapText="1"/>
    </xf>
    <xf numFmtId="0" fontId="19" fillId="3" borderId="41" xfId="0" applyFont="1" applyFill="1" applyBorder="1" applyAlignment="1" applyProtection="1">
      <alignment vertical="top"/>
    </xf>
    <xf numFmtId="0" fontId="0" fillId="0" borderId="6" xfId="0" applyBorder="1" applyProtection="1"/>
    <xf numFmtId="0" fontId="0" fillId="8" borderId="6" xfId="0" applyFill="1" applyBorder="1" applyProtection="1"/>
    <xf numFmtId="0" fontId="0" fillId="18" borderId="6" xfId="0" applyFill="1" applyBorder="1" applyProtection="1"/>
    <xf numFmtId="0" fontId="0" fillId="13" borderId="159" xfId="0" applyFill="1" applyBorder="1" applyProtection="1"/>
    <xf numFmtId="0" fontId="0" fillId="10" borderId="77" xfId="0" applyFill="1" applyBorder="1" applyProtection="1"/>
    <xf numFmtId="0" fontId="0" fillId="9" borderId="77" xfId="0" applyFill="1" applyBorder="1" applyProtection="1"/>
    <xf numFmtId="0" fontId="0" fillId="0" borderId="9" xfId="0" applyBorder="1" applyProtection="1"/>
    <xf numFmtId="0" fontId="23" fillId="10" borderId="77" xfId="0" applyFont="1" applyFill="1" applyBorder="1" applyAlignment="1" applyProtection="1">
      <alignment wrapText="1"/>
    </xf>
    <xf numFmtId="0" fontId="0" fillId="0" borderId="6" xfId="0" applyFill="1" applyBorder="1" applyProtection="1"/>
    <xf numFmtId="0" fontId="0" fillId="0" borderId="160" xfId="0" applyBorder="1" applyProtection="1"/>
    <xf numFmtId="0" fontId="32" fillId="13" borderId="118" xfId="0" applyFont="1" applyFill="1" applyBorder="1" applyAlignment="1" applyProtection="1">
      <alignment wrapText="1"/>
    </xf>
    <xf numFmtId="0" fontId="0" fillId="8" borderId="161" xfId="0" applyFill="1" applyBorder="1" applyProtection="1"/>
    <xf numFmtId="0" fontId="23" fillId="10" borderId="55" xfId="0" applyFont="1" applyFill="1" applyBorder="1" applyProtection="1"/>
    <xf numFmtId="0" fontId="32" fillId="8" borderId="57" xfId="0" applyFont="1" applyFill="1" applyBorder="1" applyAlignment="1" applyProtection="1">
      <alignment horizontal="right" wrapText="1"/>
    </xf>
    <xf numFmtId="0" fontId="0" fillId="18" borderId="57" xfId="0" applyFill="1" applyBorder="1" applyProtection="1"/>
    <xf numFmtId="0" fontId="32" fillId="13" borderId="60" xfId="0" applyFont="1" applyFill="1" applyBorder="1" applyAlignment="1" applyProtection="1">
      <alignment wrapText="1"/>
    </xf>
    <xf numFmtId="0" fontId="23" fillId="10" borderId="106" xfId="0" applyFont="1" applyFill="1" applyBorder="1" applyProtection="1"/>
    <xf numFmtId="0" fontId="0" fillId="8" borderId="7" xfId="0" applyFont="1" applyFill="1" applyBorder="1" applyAlignment="1" applyProtection="1">
      <alignment horizontal="center" wrapText="1"/>
    </xf>
    <xf numFmtId="0" fontId="23" fillId="10" borderId="68" xfId="0" applyFont="1" applyFill="1" applyBorder="1" applyAlignment="1" applyProtection="1">
      <alignment wrapText="1"/>
    </xf>
    <xf numFmtId="0" fontId="32" fillId="8" borderId="7" xfId="0" applyFont="1" applyFill="1" applyBorder="1" applyAlignment="1" applyProtection="1">
      <alignment horizontal="center" wrapText="1"/>
    </xf>
    <xf numFmtId="0" fontId="0" fillId="13" borderId="118" xfId="0" applyFill="1" applyBorder="1" applyProtection="1"/>
    <xf numFmtId="0" fontId="0" fillId="18" borderId="70" xfId="0" applyFill="1" applyBorder="1" applyProtection="1"/>
    <xf numFmtId="0" fontId="0" fillId="0" borderId="152" xfId="0" applyBorder="1" applyProtection="1"/>
    <xf numFmtId="0" fontId="0" fillId="20" borderId="2" xfId="0" applyFill="1" applyBorder="1" applyProtection="1"/>
    <xf numFmtId="0" fontId="0" fillId="0" borderId="81" xfId="0" applyBorder="1" applyProtection="1"/>
    <xf numFmtId="0" fontId="0" fillId="8" borderId="0" xfId="0" applyFill="1" applyBorder="1" applyProtection="1"/>
    <xf numFmtId="0" fontId="0" fillId="8" borderId="19" xfId="0" applyFill="1" applyBorder="1" applyProtection="1"/>
    <xf numFmtId="0" fontId="0" fillId="8" borderId="73" xfId="0" applyFill="1" applyBorder="1" applyProtection="1"/>
    <xf numFmtId="0" fontId="0" fillId="8" borderId="19" xfId="0" applyFont="1" applyFill="1" applyBorder="1" applyProtection="1"/>
    <xf numFmtId="0" fontId="0" fillId="8" borderId="22" xfId="0" applyFill="1" applyBorder="1" applyProtection="1"/>
    <xf numFmtId="0" fontId="0" fillId="20" borderId="0" xfId="0" applyFill="1" applyBorder="1" applyAlignment="1" applyProtection="1">
      <alignment horizontal="right"/>
    </xf>
    <xf numFmtId="1" fontId="0" fillId="20" borderId="2" xfId="0" applyNumberFormat="1" applyFont="1" applyFill="1" applyBorder="1" applyProtection="1"/>
    <xf numFmtId="1" fontId="0" fillId="20" borderId="57" xfId="0" applyNumberFormat="1" applyFont="1" applyFill="1" applyBorder="1" applyProtection="1"/>
    <xf numFmtId="1" fontId="32" fillId="20" borderId="57" xfId="0" applyNumberFormat="1" applyFont="1" applyFill="1" applyBorder="1" applyProtection="1"/>
    <xf numFmtId="1" fontId="0" fillId="20" borderId="56" xfId="0" applyNumberFormat="1" applyFill="1" applyBorder="1" applyProtection="1"/>
    <xf numFmtId="1" fontId="0" fillId="20" borderId="2" xfId="0" applyNumberFormat="1" applyFill="1" applyBorder="1" applyProtection="1"/>
    <xf numFmtId="1" fontId="0" fillId="20" borderId="57" xfId="0" applyNumberFormat="1" applyFill="1" applyBorder="1" applyProtection="1"/>
    <xf numFmtId="0" fontId="32" fillId="2" borderId="0" xfId="0" applyFont="1" applyFill="1" applyProtection="1">
      <protection hidden="1"/>
    </xf>
    <xf numFmtId="0" fontId="0" fillId="8" borderId="7" xfId="0" applyFont="1" applyFill="1" applyBorder="1" applyProtection="1">
      <protection hidden="1"/>
    </xf>
    <xf numFmtId="0" fontId="0" fillId="0" borderId="2" xfId="0" applyBorder="1" applyProtection="1">
      <protection hidden="1"/>
    </xf>
    <xf numFmtId="0" fontId="0" fillId="0" borderId="2" xfId="0" applyFont="1" applyBorder="1" applyProtection="1">
      <protection hidden="1"/>
    </xf>
    <xf numFmtId="0" fontId="106" fillId="3" borderId="131" xfId="0" applyFont="1" applyFill="1" applyBorder="1" applyAlignment="1" applyProtection="1">
      <alignment horizontal="right" vertical="center"/>
      <protection hidden="1"/>
    </xf>
    <xf numFmtId="0" fontId="7" fillId="3" borderId="134" xfId="0" applyFont="1" applyFill="1" applyBorder="1" applyAlignment="1" applyProtection="1">
      <alignment horizontal="right" vertical="center"/>
      <protection hidden="1"/>
    </xf>
    <xf numFmtId="0" fontId="36" fillId="2" borderId="0" xfId="0" applyFont="1" applyFill="1" applyBorder="1" applyAlignment="1" applyProtection="1">
      <alignment horizontal="left" vertical="center" wrapText="1"/>
    </xf>
    <xf numFmtId="0" fontId="37" fillId="4" borderId="2" xfId="0" applyFont="1" applyFill="1" applyBorder="1" applyAlignment="1" applyProtection="1">
      <alignment horizontal="left" vertical="center" wrapText="1"/>
      <protection hidden="1"/>
    </xf>
    <xf numFmtId="0" fontId="32" fillId="2" borderId="126" xfId="0" applyFont="1" applyFill="1" applyBorder="1" applyAlignment="1" applyProtection="1">
      <alignment horizontal="left" wrapText="1"/>
      <protection hidden="1"/>
    </xf>
    <xf numFmtId="0" fontId="32" fillId="2" borderId="0" xfId="0" applyFont="1" applyFill="1" applyBorder="1" applyAlignment="1" applyProtection="1">
      <alignment horizontal="left" wrapText="1"/>
      <protection hidden="1"/>
    </xf>
    <xf numFmtId="0" fontId="32" fillId="2" borderId="97" xfId="0" applyFont="1" applyFill="1" applyBorder="1" applyAlignment="1" applyProtection="1">
      <alignment horizontal="left" wrapText="1"/>
      <protection hidden="1"/>
    </xf>
    <xf numFmtId="0" fontId="32" fillId="2" borderId="111" xfId="0" applyFont="1" applyFill="1" applyBorder="1" applyAlignment="1" applyProtection="1">
      <alignment vertical="top" wrapText="1"/>
      <protection hidden="1"/>
    </xf>
    <xf numFmtId="0" fontId="32" fillId="2" borderId="1" xfId="0" applyFont="1" applyFill="1" applyBorder="1" applyAlignment="1" applyProtection="1">
      <alignment vertical="top" wrapText="1"/>
      <protection hidden="1"/>
    </xf>
    <xf numFmtId="0" fontId="32" fillId="2" borderId="127" xfId="0" applyFont="1" applyFill="1" applyBorder="1" applyAlignment="1" applyProtection="1">
      <alignment horizontal="center" vertical="top" wrapText="1"/>
      <protection hidden="1"/>
    </xf>
    <xf numFmtId="0" fontId="32" fillId="4" borderId="5" xfId="0" applyFont="1" applyFill="1" applyBorder="1" applyAlignment="1" applyProtection="1">
      <alignment wrapText="1"/>
      <protection hidden="1"/>
    </xf>
    <xf numFmtId="0" fontId="32" fillId="2" borderId="97" xfId="0" applyFont="1" applyFill="1" applyBorder="1" applyAlignment="1" applyProtection="1">
      <alignment vertical="top" wrapText="1"/>
      <protection hidden="1"/>
    </xf>
    <xf numFmtId="0" fontId="32" fillId="2" borderId="0" xfId="0" applyFont="1" applyFill="1" applyBorder="1" applyAlignment="1" applyProtection="1">
      <alignment horizontal="center" vertical="top" wrapText="1"/>
      <protection hidden="1"/>
    </xf>
    <xf numFmtId="0" fontId="32" fillId="4" borderId="5" xfId="0" applyFont="1" applyFill="1" applyBorder="1" applyAlignment="1" applyProtection="1">
      <alignment vertical="top" wrapText="1"/>
      <protection hidden="1"/>
    </xf>
    <xf numFmtId="0" fontId="32" fillId="2" borderId="12" xfId="0" applyFont="1" applyFill="1" applyBorder="1" applyAlignment="1" applyProtection="1">
      <alignment horizontal="center" vertical="top" wrapText="1"/>
      <protection hidden="1"/>
    </xf>
    <xf numFmtId="0" fontId="82" fillId="3" borderId="1" xfId="0" applyFont="1" applyFill="1" applyBorder="1" applyAlignment="1" applyProtection="1">
      <alignment vertical="top" wrapText="1"/>
      <protection hidden="1"/>
    </xf>
    <xf numFmtId="0" fontId="48" fillId="4" borderId="1" xfId="0" applyFont="1" applyFill="1" applyBorder="1" applyAlignment="1" applyProtection="1">
      <alignment horizontal="left" wrapText="1"/>
      <protection hidden="1"/>
    </xf>
    <xf numFmtId="0" fontId="35" fillId="4" borderId="34" xfId="0" applyFont="1" applyFill="1" applyBorder="1" applyAlignment="1" applyProtection="1">
      <alignment horizontal="left" vertical="center" wrapText="1"/>
      <protection hidden="1"/>
    </xf>
    <xf numFmtId="0" fontId="1" fillId="4" borderId="27" xfId="0" applyFont="1" applyFill="1" applyBorder="1" applyAlignment="1" applyProtection="1">
      <alignment horizontal="left" vertical="center" wrapText="1"/>
      <protection hidden="1"/>
    </xf>
    <xf numFmtId="165" fontId="35" fillId="4" borderId="28" xfId="0" applyNumberFormat="1" applyFont="1" applyFill="1" applyBorder="1" applyAlignment="1" applyProtection="1">
      <alignment horizontal="left" vertical="center" wrapText="1"/>
      <protection hidden="1"/>
    </xf>
    <xf numFmtId="0" fontId="57" fillId="2" borderId="0" xfId="0" applyFont="1" applyFill="1" applyBorder="1" applyAlignment="1" applyProtection="1">
      <alignment horizontal="left" wrapText="1"/>
      <protection hidden="1"/>
    </xf>
    <xf numFmtId="10" fontId="26" fillId="4" borderId="2" xfId="0" applyNumberFormat="1" applyFont="1" applyFill="1" applyBorder="1" applyAlignment="1" applyProtection="1">
      <alignment horizontal="center" vertical="center" wrapText="1"/>
      <protection hidden="1"/>
    </xf>
    <xf numFmtId="0" fontId="37" fillId="4" borderId="4" xfId="0" applyFont="1" applyFill="1" applyBorder="1" applyAlignment="1" applyProtection="1">
      <alignment horizontal="left" vertical="center" wrapText="1"/>
      <protection hidden="1"/>
    </xf>
    <xf numFmtId="0" fontId="90" fillId="4" borderId="15" xfId="0" applyFont="1" applyFill="1" applyBorder="1" applyAlignment="1" applyProtection="1">
      <alignment vertical="center" wrapText="1"/>
      <protection hidden="1"/>
    </xf>
    <xf numFmtId="0" fontId="32" fillId="4" borderId="15" xfId="0" applyFont="1" applyFill="1" applyBorder="1" applyAlignment="1" applyProtection="1">
      <alignment vertical="center" wrapText="1"/>
      <protection hidden="1"/>
    </xf>
    <xf numFmtId="0" fontId="37" fillId="4" borderId="2" xfId="0" applyFont="1" applyFill="1" applyBorder="1" applyAlignment="1" applyProtection="1">
      <alignment horizontal="left" vertical="center"/>
      <protection hidden="1"/>
    </xf>
    <xf numFmtId="0" fontId="30" fillId="2" borderId="0" xfId="0" applyFont="1" applyFill="1" applyBorder="1" applyAlignment="1" applyProtection="1">
      <alignment horizontal="left" vertical="center" wrapText="1"/>
      <protection hidden="1"/>
    </xf>
    <xf numFmtId="0" fontId="0" fillId="20" borderId="56" xfId="0" applyFill="1" applyBorder="1" applyProtection="1"/>
    <xf numFmtId="0" fontId="58" fillId="2" borderId="0" xfId="0" applyFont="1" applyFill="1" applyBorder="1" applyProtection="1">
      <protection hidden="1"/>
    </xf>
    <xf numFmtId="0" fontId="58" fillId="4" borderId="0" xfId="0" applyFont="1" applyFill="1" applyBorder="1"/>
    <xf numFmtId="0" fontId="0" fillId="22" borderId="59" xfId="0" applyFont="1" applyFill="1" applyBorder="1" applyAlignment="1" applyProtection="1">
      <alignment wrapText="1"/>
    </xf>
    <xf numFmtId="0" fontId="32" fillId="22" borderId="2" xfId="0" applyFont="1" applyFill="1" applyBorder="1" applyAlignment="1" applyProtection="1">
      <alignment wrapText="1"/>
    </xf>
    <xf numFmtId="0" fontId="0" fillId="12" borderId="0" xfId="0" applyFill="1" applyBorder="1" applyProtection="1"/>
    <xf numFmtId="0" fontId="24" fillId="0" borderId="0" xfId="0" applyFont="1" applyBorder="1" applyProtection="1"/>
    <xf numFmtId="0" fontId="24" fillId="0" borderId="0" xfId="0" applyFont="1" applyFill="1" applyBorder="1" applyAlignment="1" applyProtection="1">
      <alignment horizontal="right"/>
    </xf>
    <xf numFmtId="0" fontId="24" fillId="4" borderId="0" xfId="0" applyFont="1" applyFill="1" applyAlignment="1" applyProtection="1">
      <alignment vertical="center"/>
      <protection hidden="1"/>
    </xf>
    <xf numFmtId="0" fontId="24" fillId="4" borderId="0" xfId="0" applyFont="1" applyFill="1" applyAlignment="1" applyProtection="1">
      <protection hidden="1"/>
    </xf>
    <xf numFmtId="0" fontId="0" fillId="0" borderId="158" xfId="0" applyBorder="1" applyAlignment="1" applyProtection="1">
      <alignment wrapText="1"/>
      <protection hidden="1"/>
    </xf>
    <xf numFmtId="0" fontId="0" fillId="0" borderId="138" xfId="0" applyBorder="1" applyAlignment="1" applyProtection="1">
      <alignment wrapText="1"/>
      <protection hidden="1"/>
    </xf>
    <xf numFmtId="0" fontId="23" fillId="4" borderId="0" xfId="0" applyFont="1" applyFill="1"/>
    <xf numFmtId="0" fontId="32" fillId="8" borderId="0" xfId="0" applyFont="1" applyFill="1" applyProtection="1">
      <protection hidden="1"/>
    </xf>
    <xf numFmtId="0" fontId="0" fillId="21" borderId="0" xfId="0" applyFill="1" applyAlignment="1" applyProtection="1">
      <alignment wrapText="1"/>
    </xf>
    <xf numFmtId="0" fontId="23" fillId="21" borderId="81" xfId="0" applyFont="1" applyFill="1" applyBorder="1" applyAlignment="1" applyProtection="1">
      <alignment horizontal="center" wrapText="1"/>
    </xf>
    <xf numFmtId="0" fontId="0" fillId="25" borderId="0" xfId="0" applyFill="1"/>
    <xf numFmtId="0" fontId="23" fillId="25" borderId="149" xfId="0" applyFont="1" applyFill="1" applyBorder="1" applyAlignment="1" applyProtection="1">
      <alignment horizontal="center" wrapText="1"/>
    </xf>
    <xf numFmtId="0" fontId="0" fillId="26" borderId="0" xfId="0" applyFill="1" applyAlignment="1" applyProtection="1">
      <alignment wrapText="1"/>
    </xf>
    <xf numFmtId="0" fontId="23" fillId="26" borderId="81" xfId="0" applyFont="1" applyFill="1" applyBorder="1" applyAlignment="1" applyProtection="1">
      <alignment horizontal="center" wrapText="1"/>
    </xf>
    <xf numFmtId="0" fontId="0" fillId="27" borderId="0" xfId="0" applyFill="1" applyAlignment="1" applyProtection="1"/>
    <xf numFmtId="0" fontId="23" fillId="27" borderId="149" xfId="0" applyFont="1" applyFill="1" applyBorder="1" applyAlignment="1" applyProtection="1">
      <alignment horizontal="center" wrapText="1"/>
    </xf>
    <xf numFmtId="0" fontId="94" fillId="25" borderId="2" xfId="0" applyFont="1" applyFill="1" applyBorder="1" applyAlignment="1" applyProtection="1">
      <alignment horizontal="left" indent="2"/>
    </xf>
    <xf numFmtId="0" fontId="32" fillId="25" borderId="53" xfId="0" applyFont="1" applyFill="1" applyBorder="1" applyProtection="1"/>
    <xf numFmtId="0" fontId="32" fillId="25" borderId="56" xfId="0" applyFont="1" applyFill="1" applyBorder="1" applyProtection="1"/>
    <xf numFmtId="0" fontId="32" fillId="25" borderId="58" xfId="0" applyFont="1" applyFill="1" applyBorder="1" applyProtection="1"/>
    <xf numFmtId="0" fontId="32" fillId="25" borderId="3" xfId="0" applyFont="1" applyFill="1" applyBorder="1" applyProtection="1"/>
    <xf numFmtId="0" fontId="110" fillId="25" borderId="2" xfId="0" applyFont="1" applyFill="1" applyBorder="1" applyAlignment="1" applyProtection="1">
      <alignment horizontal="left" indent="2"/>
    </xf>
    <xf numFmtId="0" fontId="110" fillId="25" borderId="59" xfId="0" applyFont="1" applyFill="1" applyBorder="1" applyAlignment="1" applyProtection="1">
      <alignment horizontal="left" indent="2"/>
    </xf>
    <xf numFmtId="0" fontId="0" fillId="5" borderId="24" xfId="0" applyFont="1" applyFill="1" applyBorder="1" applyAlignment="1" applyProtection="1">
      <alignment horizontal="left" vertical="center" indent="5"/>
    </xf>
    <xf numFmtId="0" fontId="32" fillId="5" borderId="24" xfId="0" applyFont="1" applyFill="1" applyBorder="1" applyAlignment="1" applyProtection="1">
      <alignment horizontal="left" vertical="center" wrapText="1"/>
      <protection hidden="1"/>
    </xf>
    <xf numFmtId="0" fontId="0" fillId="5" borderId="24" xfId="0" applyFont="1" applyFill="1" applyBorder="1" applyAlignment="1" applyProtection="1">
      <alignment horizontal="left" vertical="center" wrapText="1"/>
      <protection hidden="1"/>
    </xf>
    <xf numFmtId="0" fontId="0" fillId="5" borderId="24" xfId="0" applyFont="1" applyFill="1" applyBorder="1" applyAlignment="1" applyProtection="1">
      <alignment horizontal="left" vertical="center" wrapText="1" indent="2"/>
      <protection hidden="1"/>
    </xf>
    <xf numFmtId="0" fontId="32" fillId="5" borderId="88" xfId="0" applyFont="1" applyFill="1" applyBorder="1" applyAlignment="1" applyProtection="1">
      <alignment horizontal="left" vertical="center" wrapText="1"/>
      <protection hidden="1"/>
    </xf>
    <xf numFmtId="0" fontId="0" fillId="5" borderId="24" xfId="0" applyFont="1" applyFill="1" applyBorder="1" applyAlignment="1" applyProtection="1">
      <alignment horizontal="left" vertical="center" wrapText="1" indent="4"/>
      <protection hidden="1"/>
    </xf>
    <xf numFmtId="0" fontId="0" fillId="5" borderId="24" xfId="0" applyFont="1" applyFill="1" applyBorder="1" applyAlignment="1" applyProtection="1">
      <alignment horizontal="left" vertical="center"/>
      <protection hidden="1"/>
    </xf>
    <xf numFmtId="0" fontId="58" fillId="4" borderId="12" xfId="0" applyFont="1" applyFill="1" applyBorder="1" applyProtection="1">
      <protection hidden="1"/>
    </xf>
    <xf numFmtId="0" fontId="74" fillId="4" borderId="0" xfId="0" applyFont="1" applyFill="1" applyProtection="1">
      <protection hidden="1"/>
    </xf>
    <xf numFmtId="0" fontId="58" fillId="0" borderId="0" xfId="0" applyFont="1" applyProtection="1">
      <protection hidden="1"/>
    </xf>
    <xf numFmtId="0" fontId="0" fillId="5" borderId="25" xfId="0" applyFill="1" applyBorder="1" applyAlignment="1" applyProtection="1">
      <alignment horizontal="left"/>
      <protection hidden="1"/>
    </xf>
    <xf numFmtId="0" fontId="0" fillId="5" borderId="31" xfId="0" applyFill="1" applyBorder="1" applyAlignment="1" applyProtection="1">
      <alignment horizontal="left"/>
      <protection hidden="1"/>
    </xf>
    <xf numFmtId="0" fontId="0" fillId="5" borderId="45" xfId="0" applyFill="1" applyBorder="1" applyAlignment="1" applyProtection="1">
      <alignment horizontal="left"/>
      <protection hidden="1"/>
    </xf>
    <xf numFmtId="0" fontId="32" fillId="5" borderId="25" xfId="0" applyFont="1" applyFill="1" applyBorder="1" applyAlignment="1" applyProtection="1">
      <alignment horizontal="center"/>
      <protection hidden="1"/>
    </xf>
    <xf numFmtId="0" fontId="0" fillId="5" borderId="25" xfId="0" applyFill="1" applyBorder="1" applyAlignment="1" applyProtection="1">
      <alignment horizontal="center"/>
      <protection hidden="1"/>
    </xf>
    <xf numFmtId="0" fontId="0" fillId="5" borderId="24" xfId="0" applyFill="1" applyBorder="1" applyAlignment="1" applyProtection="1">
      <alignment horizontal="left"/>
      <protection hidden="1"/>
    </xf>
    <xf numFmtId="0" fontId="58" fillId="4" borderId="0" xfId="0" applyFont="1" applyFill="1" applyBorder="1" applyProtection="1">
      <protection hidden="1"/>
    </xf>
    <xf numFmtId="0" fontId="32" fillId="4" borderId="0" xfId="0" applyFont="1" applyFill="1" applyProtection="1">
      <protection hidden="1"/>
    </xf>
    <xf numFmtId="0" fontId="23" fillId="4" borderId="0" xfId="0" applyFont="1" applyFill="1" applyProtection="1">
      <protection hidden="1"/>
    </xf>
    <xf numFmtId="0" fontId="23" fillId="4" borderId="0" xfId="0" applyFont="1" applyFill="1" applyBorder="1" applyProtection="1">
      <protection hidden="1"/>
    </xf>
    <xf numFmtId="0" fontId="0" fillId="0" borderId="0" xfId="0" applyFont="1" applyBorder="1" applyAlignment="1" applyProtection="1">
      <alignment horizontal="left" vertical="top" wrapText="1"/>
    </xf>
    <xf numFmtId="0" fontId="84" fillId="0" borderId="0" xfId="0" applyFont="1" applyBorder="1" applyAlignment="1" applyProtection="1">
      <alignment horizontal="left" vertical="top"/>
    </xf>
    <xf numFmtId="0" fontId="35" fillId="2" borderId="0" xfId="0" applyFont="1" applyFill="1" applyAlignment="1" applyProtection="1">
      <alignment horizontal="left" vertical="top" wrapText="1"/>
      <protection hidden="1"/>
    </xf>
    <xf numFmtId="0" fontId="35" fillId="2" borderId="11" xfId="0" applyFont="1" applyFill="1" applyBorder="1" applyAlignment="1" applyProtection="1">
      <alignment horizontal="left" vertical="top" wrapText="1"/>
      <protection hidden="1"/>
    </xf>
    <xf numFmtId="0" fontId="35" fillId="4" borderId="0" xfId="0" applyFont="1" applyFill="1" applyBorder="1" applyAlignment="1" applyProtection="1">
      <alignment horizontal="left" vertical="top" wrapText="1"/>
      <protection hidden="1"/>
    </xf>
    <xf numFmtId="0" fontId="1" fillId="4" borderId="4" xfId="0" applyFont="1" applyFill="1" applyBorder="1" applyAlignment="1" applyProtection="1">
      <alignment horizontal="left" vertical="top" wrapText="1"/>
      <protection locked="0"/>
    </xf>
    <xf numFmtId="0" fontId="1" fillId="4" borderId="7" xfId="0" applyFont="1" applyFill="1" applyBorder="1" applyAlignment="1" applyProtection="1">
      <alignment horizontal="left" vertical="top" wrapText="1"/>
      <protection locked="0"/>
    </xf>
    <xf numFmtId="0" fontId="9" fillId="4" borderId="40" xfId="0" applyFont="1" applyFill="1" applyBorder="1" applyAlignment="1" applyProtection="1">
      <alignment horizontal="center" vertical="top" wrapText="1"/>
    </xf>
    <xf numFmtId="0" fontId="9" fillId="4" borderId="0" xfId="0" applyFont="1" applyFill="1" applyAlignment="1" applyProtection="1">
      <alignment horizontal="center" vertical="top" wrapText="1"/>
    </xf>
    <xf numFmtId="0" fontId="44" fillId="2" borderId="51" xfId="0" applyFont="1" applyFill="1" applyBorder="1" applyAlignment="1" applyProtection="1">
      <alignment horizontal="center" wrapText="1"/>
    </xf>
    <xf numFmtId="0" fontId="44" fillId="2" borderId="1" xfId="0" applyFont="1" applyFill="1" applyBorder="1" applyAlignment="1" applyProtection="1">
      <alignment horizontal="center" wrapText="1"/>
    </xf>
    <xf numFmtId="0" fontId="44" fillId="2" borderId="41" xfId="0" applyFont="1" applyFill="1" applyBorder="1" applyAlignment="1" applyProtection="1">
      <alignment horizontal="center" wrapText="1"/>
    </xf>
    <xf numFmtId="0" fontId="0" fillId="5" borderId="137" xfId="0" applyFont="1" applyFill="1" applyBorder="1" applyAlignment="1" applyProtection="1">
      <alignment horizontal="left" vertical="top" wrapText="1"/>
    </xf>
    <xf numFmtId="0" fontId="0" fillId="5" borderId="135" xfId="0" applyFont="1" applyFill="1" applyBorder="1" applyAlignment="1" applyProtection="1">
      <alignment horizontal="left" vertical="top" wrapText="1"/>
    </xf>
    <xf numFmtId="0" fontId="55" fillId="0" borderId="148" xfId="0" applyFont="1" applyBorder="1" applyAlignment="1" applyProtection="1">
      <alignment horizontal="left" vertical="top"/>
      <protection locked="0"/>
    </xf>
    <xf numFmtId="0" fontId="55" fillId="0" borderId="0" xfId="0" applyFont="1" applyBorder="1" applyAlignment="1" applyProtection="1">
      <alignment horizontal="left" vertical="top"/>
      <protection locked="0"/>
    </xf>
    <xf numFmtId="0" fontId="55" fillId="0" borderId="12" xfId="0" applyFont="1" applyBorder="1" applyAlignment="1" applyProtection="1">
      <alignment horizontal="left" vertical="top"/>
      <protection locked="0"/>
    </xf>
    <xf numFmtId="0" fontId="54" fillId="0" borderId="120" xfId="0" applyFont="1" applyFill="1" applyBorder="1" applyAlignment="1" applyProtection="1">
      <alignment horizontal="left" vertical="top"/>
      <protection locked="0"/>
    </xf>
    <xf numFmtId="0" fontId="54" fillId="0" borderId="121" xfId="0" applyFont="1" applyFill="1" applyBorder="1" applyAlignment="1" applyProtection="1">
      <alignment horizontal="left" vertical="top"/>
      <protection locked="0"/>
    </xf>
    <xf numFmtId="0" fontId="54" fillId="0" borderId="122" xfId="0" applyFont="1" applyFill="1" applyBorder="1" applyAlignment="1" applyProtection="1">
      <alignment horizontal="left" vertical="top"/>
      <protection locked="0"/>
    </xf>
    <xf numFmtId="0" fontId="55" fillId="0" borderId="148"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2" xfId="0" applyFont="1" applyBorder="1" applyAlignment="1" applyProtection="1">
      <alignment horizontal="left" vertical="top" wrapText="1"/>
      <protection locked="0"/>
    </xf>
    <xf numFmtId="0" fontId="51" fillId="0" borderId="148" xfId="0" applyFont="1" applyBorder="1" applyAlignment="1">
      <alignment horizontal="left" vertical="top"/>
    </xf>
    <xf numFmtId="0" fontId="51" fillId="0" borderId="0" xfId="0" applyFont="1" applyAlignment="1">
      <alignment horizontal="left" vertical="top"/>
    </xf>
    <xf numFmtId="0" fontId="51" fillId="0" borderId="12" xfId="0" applyFont="1" applyBorder="1" applyAlignment="1">
      <alignment horizontal="left" vertical="top"/>
    </xf>
    <xf numFmtId="0" fontId="54" fillId="0" borderId="120" xfId="0" applyFont="1" applyFill="1" applyBorder="1" applyAlignment="1" applyProtection="1">
      <alignment horizontal="left" vertical="center"/>
      <protection locked="0"/>
    </xf>
    <xf numFmtId="0" fontId="54" fillId="0" borderId="121" xfId="0" applyFont="1" applyFill="1" applyBorder="1" applyAlignment="1" applyProtection="1">
      <alignment horizontal="left" vertical="center"/>
      <protection locked="0"/>
    </xf>
    <xf numFmtId="0" fontId="54" fillId="0" borderId="122" xfId="0" applyFont="1" applyFill="1" applyBorder="1" applyAlignment="1" applyProtection="1">
      <alignment horizontal="left" vertical="center"/>
      <protection locked="0"/>
    </xf>
    <xf numFmtId="0" fontId="51" fillId="19" borderId="2" xfId="0" applyFont="1" applyFill="1" applyBorder="1" applyAlignment="1">
      <alignment horizontal="left" vertical="top" wrapText="1"/>
    </xf>
    <xf numFmtId="0" fontId="51" fillId="19" borderId="2" xfId="0" applyFont="1" applyFill="1" applyBorder="1" applyAlignment="1">
      <alignment horizontal="center" vertical="top" wrapText="1"/>
    </xf>
    <xf numFmtId="0" fontId="98" fillId="19" borderId="2" xfId="0" applyFont="1" applyFill="1" applyBorder="1" applyAlignment="1">
      <alignment horizontal="center" vertical="center" wrapText="1"/>
    </xf>
    <xf numFmtId="0" fontId="54" fillId="0" borderId="144" xfId="0" applyFont="1" applyFill="1" applyBorder="1" applyAlignment="1" applyProtection="1">
      <alignment horizontal="left" vertical="top"/>
      <protection locked="0"/>
    </xf>
    <xf numFmtId="0" fontId="54" fillId="0" borderId="145" xfId="0" applyFont="1" applyFill="1" applyBorder="1" applyAlignment="1" applyProtection="1">
      <alignment horizontal="left" vertical="top"/>
      <protection locked="0"/>
    </xf>
    <xf numFmtId="0" fontId="54" fillId="0" borderId="146" xfId="0" applyFont="1" applyFill="1" applyBorder="1" applyAlignment="1" applyProtection="1">
      <alignment horizontal="left" vertical="top"/>
      <protection locked="0"/>
    </xf>
    <xf numFmtId="0" fontId="54" fillId="0" borderId="147" xfId="0" applyFont="1" applyFill="1" applyBorder="1" applyAlignment="1" applyProtection="1">
      <alignment horizontal="left" vertical="top"/>
      <protection locked="0"/>
    </xf>
    <xf numFmtId="0" fontId="54" fillId="0" borderId="0" xfId="0" applyFont="1" applyFill="1" applyBorder="1" applyAlignment="1" applyProtection="1">
      <alignment horizontal="left" vertical="top"/>
      <protection locked="0"/>
    </xf>
    <xf numFmtId="0" fontId="55" fillId="0" borderId="0" xfId="0" applyFont="1" applyBorder="1" applyAlignment="1" applyProtection="1">
      <alignment horizontal="left"/>
      <protection locked="0"/>
    </xf>
    <xf numFmtId="0" fontId="55" fillId="0" borderId="12" xfId="0" applyFont="1" applyBorder="1" applyAlignment="1" applyProtection="1">
      <alignment horizontal="left"/>
      <protection locked="0"/>
    </xf>
    <xf numFmtId="0" fontId="55" fillId="0" borderId="148" xfId="0" applyFont="1" applyBorder="1" applyAlignment="1" applyProtection="1">
      <alignment horizontal="left"/>
      <protection locked="0"/>
    </xf>
    <xf numFmtId="0" fontId="54" fillId="0" borderId="151" xfId="0" applyFont="1" applyFill="1" applyBorder="1" applyAlignment="1" applyProtection="1">
      <alignment horizontal="left" vertical="top"/>
      <protection locked="0"/>
    </xf>
    <xf numFmtId="0" fontId="0" fillId="0" borderId="0" xfId="0" applyAlignment="1">
      <alignment horizontal="center"/>
    </xf>
    <xf numFmtId="0" fontId="0" fillId="0" borderId="56" xfId="0" applyBorder="1" applyAlignment="1" applyProtection="1">
      <alignment horizontal="center"/>
    </xf>
    <xf numFmtId="0" fontId="0" fillId="0" borderId="2" xfId="0" applyBorder="1" applyAlignment="1" applyProtection="1">
      <alignment horizontal="center"/>
    </xf>
    <xf numFmtId="0" fontId="0" fillId="0" borderId="57" xfId="0" applyBorder="1" applyAlignment="1" applyProtection="1">
      <alignment horizontal="center"/>
    </xf>
    <xf numFmtId="0" fontId="23" fillId="10" borderId="2" xfId="0" applyFont="1" applyFill="1" applyBorder="1" applyAlignment="1" applyProtection="1">
      <alignment horizontal="center"/>
      <protection hidden="1"/>
    </xf>
    <xf numFmtId="0" fontId="0" fillId="0" borderId="58" xfId="0" applyFont="1" applyBorder="1" applyAlignment="1" applyProtection="1">
      <alignment horizontal="center"/>
    </xf>
    <xf numFmtId="0" fontId="0" fillId="0" borderId="59" xfId="0" applyFont="1" applyBorder="1" applyAlignment="1" applyProtection="1">
      <alignment horizontal="center"/>
    </xf>
    <xf numFmtId="0" fontId="0" fillId="0" borderId="60" xfId="0" applyFont="1" applyBorder="1" applyAlignment="1" applyProtection="1">
      <alignment horizontal="center"/>
    </xf>
    <xf numFmtId="0" fontId="37" fillId="8" borderId="10" xfId="0" applyFont="1" applyFill="1" applyBorder="1" applyAlignment="1" applyProtection="1">
      <alignment horizontal="center" wrapText="1"/>
    </xf>
    <xf numFmtId="0" fontId="37" fillId="8" borderId="3" xfId="0" applyFont="1" applyFill="1" applyBorder="1" applyAlignment="1" applyProtection="1">
      <alignment horizontal="center" wrapText="1"/>
    </xf>
    <xf numFmtId="0" fontId="0" fillId="9" borderId="21" xfId="0" applyFill="1" applyBorder="1" applyAlignment="1" applyProtection="1">
      <alignment horizontal="center" vertical="center"/>
    </xf>
    <xf numFmtId="0" fontId="0" fillId="9" borderId="22" xfId="0" applyFill="1" applyBorder="1" applyAlignment="1" applyProtection="1">
      <alignment horizontal="center" vertical="center"/>
    </xf>
    <xf numFmtId="0" fontId="0" fillId="9" borderId="23" xfId="0" applyFill="1" applyBorder="1" applyAlignment="1" applyProtection="1">
      <alignment horizontal="center" vertical="center"/>
    </xf>
    <xf numFmtId="0" fontId="0" fillId="8" borderId="72" xfId="0" applyFill="1" applyBorder="1" applyAlignment="1" applyProtection="1">
      <alignment horizontal="center"/>
    </xf>
    <xf numFmtId="0" fontId="0" fillId="8" borderId="73" xfId="0" applyFill="1" applyBorder="1" applyAlignment="1" applyProtection="1">
      <alignment horizontal="center"/>
    </xf>
    <xf numFmtId="0" fontId="0" fillId="8" borderId="74" xfId="0" applyFill="1" applyBorder="1" applyAlignment="1" applyProtection="1">
      <alignment horizontal="center"/>
    </xf>
    <xf numFmtId="0" fontId="90" fillId="10" borderId="4" xfId="0" applyFont="1" applyFill="1" applyBorder="1" applyAlignment="1" applyProtection="1">
      <alignment horizontal="center" vertical="center"/>
    </xf>
    <xf numFmtId="0" fontId="90" fillId="10" borderId="6" xfId="0" applyFont="1" applyFill="1" applyBorder="1" applyAlignment="1" applyProtection="1">
      <alignment horizontal="center" vertical="center"/>
    </xf>
    <xf numFmtId="0" fontId="90" fillId="10" borderId="7" xfId="0" applyFont="1" applyFill="1" applyBorder="1" applyAlignment="1" applyProtection="1">
      <alignment horizontal="center" vertical="center"/>
    </xf>
    <xf numFmtId="0" fontId="23" fillId="10" borderId="79" xfId="0" applyFont="1" applyFill="1" applyBorder="1" applyAlignment="1" applyProtection="1">
      <alignment horizontal="center" wrapText="1"/>
      <protection hidden="1"/>
    </xf>
    <xf numFmtId="0" fontId="23" fillId="10" borderId="54" xfId="0" applyFont="1" applyFill="1" applyBorder="1" applyAlignment="1" applyProtection="1">
      <alignment horizontal="center" wrapText="1"/>
      <protection hidden="1"/>
    </xf>
    <xf numFmtId="0" fontId="23" fillId="10" borderId="55" xfId="0" applyFont="1" applyFill="1" applyBorder="1" applyAlignment="1" applyProtection="1">
      <alignment horizontal="center" wrapText="1"/>
      <protection hidden="1"/>
    </xf>
    <xf numFmtId="0" fontId="23" fillId="10" borderId="21" xfId="0" applyFont="1" applyFill="1" applyBorder="1" applyAlignment="1" applyProtection="1">
      <alignment horizontal="center"/>
    </xf>
    <xf numFmtId="0" fontId="23" fillId="10" borderId="22" xfId="0" applyFont="1" applyFill="1" applyBorder="1" applyAlignment="1" applyProtection="1">
      <alignment horizontal="center"/>
    </xf>
    <xf numFmtId="0" fontId="23" fillId="10" borderId="53" xfId="0" applyFont="1" applyFill="1" applyBorder="1" applyAlignment="1" applyProtection="1">
      <alignment horizontal="center" wrapText="1"/>
      <protection hidden="1"/>
    </xf>
    <xf numFmtId="0" fontId="0" fillId="0" borderId="53" xfId="0" applyBorder="1" applyAlignment="1" applyProtection="1">
      <alignment horizontal="center"/>
    </xf>
    <xf numFmtId="0" fontId="0" fillId="0" borderId="54" xfId="0" applyBorder="1" applyAlignment="1" applyProtection="1">
      <alignment horizontal="center"/>
    </xf>
    <xf numFmtId="0" fontId="0" fillId="0" borderId="55" xfId="0" applyBorder="1" applyAlignment="1" applyProtection="1">
      <alignment horizontal="center"/>
    </xf>
    <xf numFmtId="0" fontId="72" fillId="2" borderId="8" xfId="0" applyFont="1" applyFill="1" applyBorder="1" applyAlignment="1" applyProtection="1">
      <alignment horizontal="center" wrapText="1"/>
      <protection hidden="1"/>
    </xf>
    <xf numFmtId="0" fontId="72" fillId="2" borderId="12" xfId="0" applyFont="1" applyFill="1" applyBorder="1" applyAlignment="1" applyProtection="1">
      <alignment horizontal="center" wrapText="1"/>
      <protection hidden="1"/>
    </xf>
    <xf numFmtId="0" fontId="71" fillId="2" borderId="0" xfId="0" applyFont="1" applyFill="1" applyAlignment="1" applyProtection="1">
      <alignment horizontal="left" vertical="top" wrapText="1"/>
      <protection hidden="1"/>
    </xf>
    <xf numFmtId="0" fontId="70" fillId="4" borderId="2" xfId="0" applyFont="1" applyFill="1" applyBorder="1" applyAlignment="1" applyProtection="1">
      <alignment horizontal="center"/>
      <protection locked="0" hidden="1"/>
    </xf>
    <xf numFmtId="0" fontId="72" fillId="2" borderId="0" xfId="0" applyFont="1" applyFill="1" applyBorder="1" applyAlignment="1" applyProtection="1">
      <alignment horizontal="center" wrapText="1"/>
      <protection hidden="1"/>
    </xf>
    <xf numFmtId="0" fontId="69" fillId="4" borderId="13" xfId="0" applyFont="1" applyFill="1" applyBorder="1" applyAlignment="1" applyProtection="1">
      <alignment horizontal="center"/>
      <protection hidden="1"/>
    </xf>
    <xf numFmtId="0" fontId="69" fillId="4" borderId="14" xfId="0" applyFont="1" applyFill="1" applyBorder="1" applyAlignment="1" applyProtection="1">
      <alignment horizontal="center"/>
      <protection hidden="1"/>
    </xf>
    <xf numFmtId="0" fontId="58" fillId="5" borderId="100" xfId="0" applyFont="1" applyFill="1" applyBorder="1" applyAlignment="1" applyProtection="1">
      <alignment horizontal="center"/>
      <protection hidden="1"/>
    </xf>
    <xf numFmtId="0" fontId="58" fillId="5" borderId="107" xfId="0" applyFont="1" applyFill="1" applyBorder="1" applyAlignment="1" applyProtection="1">
      <alignment horizontal="center"/>
      <protection hidden="1"/>
    </xf>
    <xf numFmtId="164" fontId="58" fillId="5" borderId="101" xfId="0" applyNumberFormat="1" applyFont="1" applyFill="1" applyBorder="1" applyAlignment="1" applyProtection="1">
      <alignment horizontal="center"/>
      <protection hidden="1"/>
    </xf>
    <xf numFmtId="164" fontId="58" fillId="5" borderId="104" xfId="0" applyNumberFormat="1" applyFont="1" applyFill="1" applyBorder="1" applyAlignment="1" applyProtection="1">
      <alignment horizontal="center"/>
      <protection hidden="1"/>
    </xf>
    <xf numFmtId="0" fontId="58" fillId="5" borderId="114" xfId="0" applyFont="1" applyFill="1" applyBorder="1" applyAlignment="1" applyProtection="1">
      <alignment horizontal="center"/>
      <protection hidden="1"/>
    </xf>
    <xf numFmtId="0" fontId="58" fillId="5" borderId="105" xfId="0" applyFont="1" applyFill="1" applyBorder="1" applyAlignment="1" applyProtection="1">
      <alignment horizontal="center"/>
      <protection hidden="1"/>
    </xf>
    <xf numFmtId="0" fontId="68" fillId="4" borderId="13" xfId="0" applyFont="1" applyFill="1" applyBorder="1" applyAlignment="1" applyProtection="1">
      <alignment horizontal="center" vertical="center"/>
      <protection hidden="1"/>
    </xf>
    <xf numFmtId="0" fontId="68" fillId="4" borderId="14" xfId="0" applyFont="1" applyFill="1" applyBorder="1" applyAlignment="1" applyProtection="1">
      <alignment horizontal="center" vertical="center"/>
      <protection hidden="1"/>
    </xf>
    <xf numFmtId="0" fontId="70" fillId="5" borderId="100" xfId="0" applyFont="1" applyFill="1" applyBorder="1" applyAlignment="1" applyProtection="1">
      <alignment horizontal="center"/>
      <protection hidden="1"/>
    </xf>
    <xf numFmtId="0" fontId="70" fillId="5" borderId="107" xfId="0" applyFont="1" applyFill="1" applyBorder="1" applyAlignment="1" applyProtection="1">
      <alignment horizontal="center"/>
      <protection hidden="1"/>
    </xf>
    <xf numFmtId="164" fontId="70" fillId="5" borderId="101" xfId="0" applyNumberFormat="1" applyFont="1" applyFill="1" applyBorder="1" applyAlignment="1" applyProtection="1">
      <alignment horizontal="center"/>
      <protection hidden="1"/>
    </xf>
    <xf numFmtId="164" fontId="70" fillId="5" borderId="104" xfId="0" applyNumberFormat="1" applyFont="1" applyFill="1" applyBorder="1" applyAlignment="1" applyProtection="1">
      <alignment horizontal="center"/>
      <protection hidden="1"/>
    </xf>
    <xf numFmtId="0" fontId="70" fillId="5" borderId="114" xfId="0" applyFont="1" applyFill="1" applyBorder="1" applyAlignment="1" applyProtection="1">
      <alignment horizontal="center"/>
      <protection hidden="1"/>
    </xf>
    <xf numFmtId="0" fontId="70" fillId="5" borderId="105" xfId="0" applyFont="1" applyFill="1" applyBorder="1" applyAlignment="1" applyProtection="1">
      <alignment horizontal="center"/>
      <protection hidden="1"/>
    </xf>
    <xf numFmtId="0" fontId="32" fillId="4" borderId="2" xfId="0" applyFont="1" applyFill="1" applyBorder="1" applyAlignment="1" applyProtection="1">
      <alignment horizontal="left" vertical="center" wrapText="1"/>
      <protection hidden="1"/>
    </xf>
    <xf numFmtId="0" fontId="0" fillId="4" borderId="2" xfId="0" applyFont="1" applyFill="1" applyBorder="1" applyAlignment="1" applyProtection="1">
      <alignment horizontal="left" vertical="center"/>
      <protection hidden="1"/>
    </xf>
    <xf numFmtId="0" fontId="0" fillId="4" borderId="2" xfId="0" applyFont="1" applyFill="1" applyBorder="1" applyAlignment="1" applyProtection="1">
      <alignment horizontal="left" vertical="center" wrapText="1"/>
      <protection hidden="1"/>
    </xf>
    <xf numFmtId="0" fontId="14" fillId="2" borderId="0" xfId="0" applyFont="1" applyFill="1" applyAlignment="1" applyProtection="1">
      <alignment vertical="center" wrapText="1"/>
      <protection hidden="1"/>
    </xf>
    <xf numFmtId="0" fontId="14" fillId="0" borderId="0" xfId="0" applyFont="1" applyAlignment="1" applyProtection="1">
      <alignment vertical="center" wrapText="1"/>
      <protection hidden="1"/>
    </xf>
    <xf numFmtId="0" fontId="0" fillId="4" borderId="2" xfId="0" applyFont="1" applyFill="1" applyBorder="1" applyAlignment="1" applyProtection="1">
      <alignment wrapText="1"/>
      <protection hidden="1"/>
    </xf>
    <xf numFmtId="0" fontId="0" fillId="4" borderId="2" xfId="0" applyFont="1" applyFill="1" applyBorder="1" applyProtection="1">
      <protection hidden="1"/>
    </xf>
    <xf numFmtId="0" fontId="112" fillId="2" borderId="2" xfId="0" applyFont="1" applyFill="1" applyBorder="1" applyAlignment="1" applyProtection="1">
      <alignment horizontal="left" vertical="center" wrapText="1"/>
      <protection hidden="1"/>
    </xf>
    <xf numFmtId="0" fontId="1" fillId="2" borderId="2" xfId="0" applyFont="1" applyFill="1" applyBorder="1" applyAlignment="1" applyProtection="1">
      <alignment horizontal="left" vertical="center" wrapText="1"/>
      <protection hidden="1"/>
    </xf>
    <xf numFmtId="0" fontId="1" fillId="2" borderId="2" xfId="0" applyFont="1" applyFill="1" applyBorder="1" applyAlignment="1" applyProtection="1">
      <alignment horizontal="left" vertical="top" wrapText="1"/>
      <protection hidden="1"/>
    </xf>
    <xf numFmtId="0" fontId="21" fillId="3" borderId="77" xfId="0" applyFont="1" applyFill="1" applyBorder="1" applyAlignment="1" applyProtection="1">
      <alignment horizontal="left" vertical="top" wrapText="1"/>
      <protection hidden="1"/>
    </xf>
    <xf numFmtId="0" fontId="21" fillId="3" borderId="106" xfId="0" applyFont="1" applyFill="1" applyBorder="1" applyAlignment="1" applyProtection="1">
      <alignment horizontal="left" vertical="top" wrapText="1"/>
      <protection hidden="1"/>
    </xf>
    <xf numFmtId="0" fontId="7" fillId="3" borderId="4" xfId="0" applyFont="1" applyFill="1" applyBorder="1" applyAlignment="1" applyProtection="1">
      <alignment horizontal="left"/>
      <protection hidden="1"/>
    </xf>
    <xf numFmtId="0" fontId="7" fillId="3" borderId="6" xfId="0" applyFont="1" applyFill="1" applyBorder="1" applyAlignment="1" applyProtection="1">
      <alignment horizontal="left"/>
      <protection hidden="1"/>
    </xf>
    <xf numFmtId="0" fontId="7" fillId="3" borderId="7" xfId="0" applyFont="1" applyFill="1" applyBorder="1" applyAlignment="1" applyProtection="1">
      <alignment horizontal="left"/>
      <protection hidden="1"/>
    </xf>
    <xf numFmtId="0" fontId="1" fillId="2" borderId="4" xfId="0" applyFont="1" applyFill="1" applyBorder="1" applyAlignment="1" applyProtection="1">
      <alignment horizontal="left" vertical="center" wrapText="1"/>
      <protection hidden="1"/>
    </xf>
    <xf numFmtId="0" fontId="1" fillId="2" borderId="6" xfId="0" applyFont="1" applyFill="1" applyBorder="1" applyAlignment="1" applyProtection="1">
      <alignment horizontal="left" vertical="center" wrapText="1"/>
      <protection hidden="1"/>
    </xf>
    <xf numFmtId="0" fontId="1" fillId="2" borderId="7" xfId="0" applyFont="1" applyFill="1" applyBorder="1" applyAlignment="1" applyProtection="1">
      <alignment horizontal="left" vertical="center" wrapText="1"/>
      <protection hidden="1"/>
    </xf>
  </cellXfs>
  <cellStyles count="5">
    <cellStyle name="Good 2" xfId="3" xr:uid="{00000000-0005-0000-0000-000000000000}"/>
    <cellStyle name="Normal" xfId="0" builtinId="0"/>
    <cellStyle name="Normal 3" xfId="1" xr:uid="{00000000-0005-0000-0000-000002000000}"/>
    <cellStyle name="Percent" xfId="2" builtinId="5"/>
    <cellStyle name="Percent 2" xfId="4" xr:uid="{A3F32B65-5251-4038-894E-02D69E32DDC8}"/>
  </cellStyles>
  <dxfs count="4049">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ill>
        <patternFill>
          <bgColor rgb="FFFFFF00"/>
        </patternFill>
      </fill>
    </dxf>
    <dxf>
      <fill>
        <patternFill>
          <bgColor theme="6"/>
        </patternFill>
      </fill>
    </dxf>
    <dxf>
      <fill>
        <patternFill>
          <bgColor theme="5"/>
        </patternFill>
      </fill>
    </dxf>
    <dxf>
      <fill>
        <patternFill>
          <bgColor rgb="FFFFFF00"/>
        </patternFill>
      </fill>
    </dxf>
    <dxf>
      <fill>
        <patternFill>
          <bgColor theme="6"/>
        </patternFill>
      </fill>
    </dxf>
    <dxf>
      <fill>
        <patternFill>
          <bgColor theme="5"/>
        </patternFill>
      </fill>
    </dxf>
    <dxf>
      <fill>
        <patternFill>
          <bgColor rgb="FFFFFF00"/>
        </patternFill>
      </fill>
    </dxf>
    <dxf>
      <fill>
        <patternFill>
          <bgColor theme="6"/>
        </patternFill>
      </fill>
    </dxf>
    <dxf>
      <fill>
        <patternFill>
          <bgColor theme="5"/>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5"/>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style="thin">
          <color theme="1"/>
        </left>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right style="thin">
          <color theme="1"/>
        </right>
      </border>
    </dxf>
    <dxf>
      <font>
        <color theme="0"/>
      </font>
      <fill>
        <patternFill>
          <bgColor theme="0"/>
        </patternFill>
      </fill>
    </dxf>
    <dxf>
      <font>
        <color theme="0"/>
      </font>
      <fill>
        <patternFill>
          <bgColor theme="0"/>
        </patternFill>
      </fill>
      <border>
        <left style="thin">
          <color theme="1"/>
        </left>
        <vertical/>
        <horizontal/>
      </border>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right style="thin">
          <color theme="1"/>
        </right>
      </border>
    </dxf>
    <dxf>
      <font>
        <color theme="0"/>
      </font>
      <fill>
        <patternFill>
          <bgColor theme="0"/>
        </patternFill>
      </fill>
    </dxf>
    <dxf>
      <font>
        <color theme="0"/>
      </font>
      <fill>
        <patternFill>
          <bgColor theme="0"/>
        </patternFill>
      </fill>
      <border>
        <left style="thin">
          <color theme="1"/>
        </left>
        <vertical/>
        <horizontal/>
      </border>
    </dxf>
    <dxf>
      <fill>
        <patternFill>
          <bgColor rgb="FFFF0000"/>
        </patternFill>
      </fill>
    </dxf>
    <dxf>
      <fill>
        <patternFill>
          <bgColor rgb="FFFF0000"/>
        </patternFill>
      </fill>
    </dxf>
    <dxf>
      <fill>
        <patternFill>
          <bgColor rgb="FFFF0000"/>
        </patternFill>
      </fill>
    </dxf>
    <dxf>
      <font>
        <b/>
        <i val="0"/>
        <color rgb="FFFF0000"/>
      </font>
    </dxf>
    <dxf>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font>
        <color theme="0" tint="-0.14996795556505021"/>
      </font>
      <fill>
        <patternFill>
          <bgColor theme="0" tint="-0.14996795556505021"/>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vertical/>
        <horizontal/>
      </border>
    </dxf>
    <dxf>
      <border>
        <left style="thin">
          <color theme="0"/>
        </left>
        <right style="thin">
          <color theme="0"/>
        </right>
        <top style="thin">
          <color theme="0"/>
        </top>
        <bottom style="thin">
          <color theme="0"/>
        </bottom>
        <vertical/>
        <horizontal/>
      </border>
    </dxf>
    <dxf>
      <font>
        <color theme="0"/>
      </font>
      <fill>
        <patternFill>
          <bgColor theme="0"/>
        </patternFill>
      </fill>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border>
    </dxf>
    <dxf>
      <border>
        <left style="thin">
          <color theme="0"/>
        </left>
        <right style="thin">
          <color theme="0"/>
        </right>
        <top style="thin">
          <color theme="0"/>
        </top>
        <bottom style="thin">
          <color theme="0"/>
        </bottom>
        <vertical/>
        <horizontal/>
      </border>
    </dxf>
    <dxf>
      <font>
        <color theme="0"/>
      </font>
      <fill>
        <patternFill>
          <bgColor theme="0"/>
        </patternFill>
      </fill>
      <border>
        <left/>
        <right/>
        <top/>
        <bottom/>
        <vertical/>
        <horizontal/>
      </border>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ont>
        <b/>
        <i val="0"/>
        <color rgb="FFFF0000"/>
      </font>
    </dxf>
    <dxf>
      <fill>
        <patternFill>
          <bgColor theme="0" tint="-0.14996795556505021"/>
        </patternFill>
      </fill>
    </dxf>
    <dxf>
      <fill>
        <patternFill>
          <bgColor theme="0"/>
        </patternFill>
      </fill>
    </dxf>
    <dxf>
      <fill>
        <patternFill>
          <bgColor theme="0"/>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ont>
        <color theme="0" tint="-0.14996795556505021"/>
      </font>
    </dxf>
    <dxf>
      <font>
        <b/>
        <i val="0"/>
        <color rgb="FFFF0000"/>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b/>
        <i val="0"/>
        <color rgb="FFFF0000"/>
      </font>
    </dxf>
    <dxf>
      <fill>
        <patternFill>
          <bgColor theme="0" tint="-0.14996795556505021"/>
        </patternFill>
      </fill>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border>
        <left/>
        <right/>
        <top/>
        <bottom/>
        <vertical/>
        <horizontal/>
      </border>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border>
        <left/>
        <right/>
        <top/>
        <bottom/>
        <vertical/>
        <horizontal/>
      </border>
    </dxf>
    <dxf>
      <fill>
        <patternFill>
          <bgColor theme="0" tint="-0.14996795556505021"/>
        </patternFill>
      </fill>
    </dxf>
    <dxf>
      <font>
        <color theme="0" tint="-0.14996795556505021"/>
      </font>
    </dxf>
    <dxf>
      <font>
        <color theme="0" tint="-0.14996795556505021"/>
      </font>
    </dxf>
    <dxf>
      <font>
        <color theme="0" tint="-0.14996795556505021"/>
      </font>
    </dxf>
    <dxf>
      <font>
        <color theme="0" tint="-0.14996795556505021"/>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color theme="0"/>
      </font>
      <fill>
        <patternFill>
          <bgColor theme="0"/>
        </patternFill>
      </fill>
      <border>
        <left/>
        <right/>
        <top/>
        <bottom/>
        <vertical/>
        <horizontal/>
      </border>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theme="0" tint="-0.14996795556505021"/>
        </patternFill>
      </fill>
    </dxf>
    <dxf>
      <fill>
        <patternFill>
          <bgColor theme="0" tint="-0.14996795556505021"/>
        </patternFill>
      </fill>
    </dxf>
    <dxf>
      <font>
        <color theme="0"/>
      </font>
      <fill>
        <patternFill>
          <bgColor theme="0"/>
        </patternFill>
      </fill>
    </dxf>
    <dxf>
      <fill>
        <patternFill>
          <bgColor theme="0" tint="-0.14996795556505021"/>
        </patternFill>
      </fill>
    </dxf>
    <dxf>
      <font>
        <color theme="0"/>
      </font>
      <fill>
        <patternFill>
          <bgColor theme="0"/>
        </patternFill>
      </fill>
      <border>
        <left/>
        <right/>
        <top/>
        <bottom/>
        <vertical/>
        <horizontal/>
      </border>
    </dxf>
    <dxf>
      <font>
        <color theme="1"/>
      </font>
      <fill>
        <patternFill>
          <bgColor theme="0"/>
        </patternFill>
      </fill>
    </dxf>
    <dxf>
      <font>
        <color theme="1"/>
      </font>
      <fill>
        <patternFill>
          <bgColor theme="0"/>
        </patternFill>
      </fill>
    </dxf>
    <dxf>
      <font>
        <b/>
        <i val="0"/>
        <color rgb="FFFF0000"/>
      </font>
    </dxf>
    <dxf>
      <font>
        <b/>
        <i val="0"/>
        <color rgb="FFFF0000"/>
      </font>
    </dxf>
    <dxf>
      <font>
        <b/>
        <i val="0"/>
        <color rgb="FFFF0000"/>
      </font>
    </dxf>
    <dxf>
      <fill>
        <patternFill>
          <bgColor theme="0" tint="-0.14996795556505021"/>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fill>
        <patternFill>
          <bgColor rgb="FF56B146"/>
        </patternFill>
      </fill>
    </dxf>
    <dxf>
      <fill>
        <patternFill>
          <bgColor rgb="FFFFD146"/>
        </patternFill>
      </fill>
    </dxf>
    <dxf>
      <fill>
        <patternFill>
          <bgColor rgb="FFF16161"/>
        </patternFill>
      </fill>
    </dxf>
    <dxf>
      <fill>
        <patternFill>
          <bgColor theme="0"/>
        </patternFill>
      </fill>
    </dxf>
    <dxf>
      <border>
        <top style="thin">
          <color auto="1"/>
        </top>
        <vertical/>
        <horizontal/>
      </border>
    </dxf>
    <dxf>
      <border>
        <top style="thin">
          <color theme="0"/>
        </top>
        <vertical/>
        <horizontal/>
      </border>
    </dxf>
    <dxf>
      <border>
        <left style="thin">
          <color theme="1"/>
        </left>
        <right style="thin">
          <color theme="1"/>
        </right>
        <top style="thin">
          <color theme="1"/>
        </top>
        <bottom style="thin">
          <color theme="1"/>
        </bottom>
        <vertical/>
        <horizontal/>
      </border>
    </dxf>
    <dxf>
      <font>
        <color theme="0"/>
      </font>
      <fill>
        <patternFill>
          <bgColor theme="0"/>
        </patternFill>
      </fill>
      <border>
        <left/>
        <right/>
        <top style="thin">
          <color theme="0"/>
        </top>
        <bottom style="thin">
          <color theme="0"/>
        </bottom>
        <vertical/>
        <horizontal/>
      </border>
    </dxf>
    <dxf>
      <border>
        <left style="thin">
          <color theme="1"/>
        </left>
        <right style="thin">
          <color theme="1"/>
        </right>
        <top style="thin">
          <color theme="1"/>
        </top>
        <bottom style="thin">
          <color theme="1"/>
        </bottom>
        <vertical/>
        <horizontal/>
      </border>
    </dxf>
    <dxf>
      <font>
        <color theme="0"/>
      </font>
      <fill>
        <patternFill>
          <bgColor theme="0"/>
        </patternFill>
      </fill>
      <border>
        <left/>
        <right/>
        <top style="thin">
          <color theme="0"/>
        </top>
        <bottom style="thin">
          <color theme="0"/>
        </bottom>
        <vertical/>
        <horizontal/>
      </border>
    </dxf>
    <dxf>
      <font>
        <color theme="0"/>
      </font>
      <fill>
        <patternFill>
          <bgColor theme="0"/>
        </patternFill>
      </fill>
      <border>
        <left/>
        <right/>
        <top style="thin">
          <color auto="1"/>
        </top>
        <bottom style="thin">
          <color auto="1"/>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1"/>
        </top>
        <bottom style="thin">
          <color theme="1"/>
        </bottom>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style="thin">
          <color auto="1"/>
        </bottom>
        <vertical/>
        <horizontal/>
      </border>
    </dxf>
    <dxf>
      <font>
        <color theme="0"/>
      </font>
      <fill>
        <patternFill>
          <bgColor theme="0"/>
        </patternFill>
      </fill>
      <border>
        <left style="thin">
          <color theme="0"/>
        </left>
        <right style="thin">
          <color theme="0"/>
        </right>
        <top style="thin">
          <color theme="0"/>
        </top>
        <bottom style="thin">
          <color theme="1"/>
        </bottom>
        <vertical/>
        <horizontal/>
      </border>
    </dxf>
  </dxfs>
  <tableStyles count="0" defaultTableStyle="TableStyleMedium9" defaultPivotStyle="PivotStyleLight16"/>
  <colors>
    <mruColors>
      <color rgb="FF56B146"/>
      <color rgb="FF3D6864"/>
      <color rgb="FFFFD146"/>
      <color rgb="FFF16161"/>
      <color rgb="FFC4BD97"/>
      <color rgb="FFB9CD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'Summary of Building Performance'!$AC$22</c:f>
              <c:strCache>
                <c:ptCount val="1"/>
                <c:pt idx="0">
                  <c:v>Section score available</c:v>
                </c:pt>
              </c:strCache>
            </c:strRef>
          </c:tx>
          <c:spPr>
            <a:solidFill>
              <a:srgbClr val="406864"/>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Performance'!$AC$23:$AC$32</c:f>
              <c:numCache>
                <c:formatCode>0%</c:formatCode>
                <c:ptCount val="10"/>
                <c:pt idx="0">
                  <c:v>0.13</c:v>
                </c:pt>
                <c:pt idx="1">
                  <c:v>0.16</c:v>
                </c:pt>
                <c:pt idx="2">
                  <c:v>0.14000000000000001</c:v>
                </c:pt>
                <c:pt idx="3">
                  <c:v>0.1</c:v>
                </c:pt>
                <c:pt idx="4">
                  <c:v>0.04</c:v>
                </c:pt>
                <c:pt idx="5">
                  <c:v>0.17</c:v>
                </c:pt>
                <c:pt idx="6">
                  <c:v>7.0000000000000007E-2</c:v>
                </c:pt>
                <c:pt idx="7">
                  <c:v>0.15</c:v>
                </c:pt>
                <c:pt idx="8">
                  <c:v>0.04</c:v>
                </c:pt>
                <c:pt idx="9">
                  <c:v>0.1</c:v>
                </c:pt>
              </c:numCache>
            </c:numRef>
          </c:val>
          <c:extLst>
            <c:ext xmlns:c16="http://schemas.microsoft.com/office/drawing/2014/chart" uri="{C3380CC4-5D6E-409C-BE32-E72D297353CC}">
              <c16:uniqueId val="{00000000-F474-4344-A64F-9500F3F284CF}"/>
            </c:ext>
          </c:extLst>
        </c:ser>
        <c:ser>
          <c:idx val="1"/>
          <c:order val="1"/>
          <c:tx>
            <c:strRef>
              <c:f>'Summary of Building Performance'!$AD$22</c:f>
              <c:strCache>
                <c:ptCount val="1"/>
                <c:pt idx="0">
                  <c:v>Initial target setting</c:v>
                </c:pt>
              </c:strCache>
            </c:strRef>
          </c:tx>
          <c:spPr>
            <a:solidFill>
              <a:srgbClr val="56B146"/>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Performance'!$AD$23:$AD$32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F474-4344-A64F-9500F3F284CF}"/>
            </c:ext>
          </c:extLst>
        </c:ser>
        <c:ser>
          <c:idx val="2"/>
          <c:order val="2"/>
          <c:tx>
            <c:strRef>
              <c:f>'Summary of Building Performance'!$AE$22</c:f>
              <c:strCache>
                <c:ptCount val="1"/>
                <c:pt idx="0">
                  <c:v>Design phase</c:v>
                </c:pt>
              </c:strCache>
            </c:strRef>
          </c:tx>
          <c:spPr>
            <a:solidFill>
              <a:schemeClr val="accent1">
                <a:lumMod val="40000"/>
                <a:lumOff val="60000"/>
              </a:schemeClr>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Performance'!$AE$23:$AE$32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F474-4344-A64F-9500F3F284CF}"/>
            </c:ext>
          </c:extLst>
        </c:ser>
        <c:ser>
          <c:idx val="3"/>
          <c:order val="3"/>
          <c:tx>
            <c:strRef>
              <c:f>'Summary of Building Performance'!$AF$22</c:f>
              <c:strCache>
                <c:ptCount val="1"/>
                <c:pt idx="0">
                  <c:v>Construction phase</c:v>
                </c:pt>
              </c:strCache>
            </c:strRef>
          </c:tx>
          <c:spPr>
            <a:solidFill>
              <a:schemeClr val="bg2">
                <a:lumMod val="75000"/>
              </a:schemeClr>
            </a:solidFill>
          </c:spPr>
          <c:invertIfNegative val="0"/>
          <c:cat>
            <c:strRef>
              <c:f>'Summary of Building Performance'!$AB$23:$AB$32</c:f>
              <c:strCache>
                <c:ptCount val="10"/>
                <c:pt idx="0">
                  <c:v>Man</c:v>
                </c:pt>
                <c:pt idx="1">
                  <c:v>Hea</c:v>
                </c:pt>
                <c:pt idx="2">
                  <c:v>Ene</c:v>
                </c:pt>
                <c:pt idx="3">
                  <c:v>Tra</c:v>
                </c:pt>
                <c:pt idx="4">
                  <c:v>Wat</c:v>
                </c:pt>
                <c:pt idx="5">
                  <c:v>Mat</c:v>
                </c:pt>
                <c:pt idx="6">
                  <c:v>Wst</c:v>
                </c:pt>
                <c:pt idx="7">
                  <c:v>LE</c:v>
                </c:pt>
                <c:pt idx="8">
                  <c:v>Pol</c:v>
                </c:pt>
                <c:pt idx="9">
                  <c:v>Inn</c:v>
                </c:pt>
              </c:strCache>
            </c:strRef>
          </c:cat>
          <c:val>
            <c:numRef>
              <c:f>'Summary of Building Performance'!$AF$23:$AF$32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F474-4344-A64F-9500F3F284CF}"/>
            </c:ext>
          </c:extLst>
        </c:ser>
        <c:dLbls>
          <c:showLegendKey val="0"/>
          <c:showVal val="0"/>
          <c:showCatName val="0"/>
          <c:showSerName val="0"/>
          <c:showPercent val="0"/>
          <c:showBubbleSize val="0"/>
        </c:dLbls>
        <c:gapWidth val="75"/>
        <c:overlap val="-25"/>
        <c:axId val="621716544"/>
        <c:axId val="621717720"/>
      </c:barChart>
      <c:catAx>
        <c:axId val="62171654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621717720"/>
        <c:crosses val="autoZero"/>
        <c:auto val="1"/>
        <c:lblAlgn val="ctr"/>
        <c:lblOffset val="100"/>
        <c:noMultiLvlLbl val="0"/>
      </c:catAx>
      <c:valAx>
        <c:axId val="621717720"/>
        <c:scaling>
          <c:orientation val="minMax"/>
        </c:scaling>
        <c:delete val="0"/>
        <c:axPos val="l"/>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nb-NO"/>
          </a:p>
        </c:txPr>
        <c:crossAx val="621716544"/>
        <c:crosses val="autoZero"/>
        <c:crossBetween val="between"/>
      </c:valAx>
    </c:plotArea>
    <c:legend>
      <c:legendPos val="b"/>
      <c:legendEntry>
        <c:idx val="1"/>
        <c:txPr>
          <a:bodyPr/>
          <a:lstStyle/>
          <a:p>
            <a:pPr>
              <a:defRPr sz="1000" b="0" i="0" u="none" strike="noStrike" baseline="0">
                <a:solidFill>
                  <a:srgbClr val="000000"/>
                </a:solidFill>
                <a:latin typeface="Calibri"/>
                <a:ea typeface="Calibri"/>
                <a:cs typeface="Calibri"/>
              </a:defRPr>
            </a:pPr>
            <a:endParaRPr lang="nb-NO"/>
          </a:p>
        </c:txPr>
      </c:legendEntry>
      <c:overlay val="0"/>
      <c:txPr>
        <a:bodyPr/>
        <a:lstStyle/>
        <a:p>
          <a:pPr>
            <a:defRPr sz="1000" b="0" i="0" u="none" strike="noStrike" baseline="0">
              <a:solidFill>
                <a:srgbClr val="000000"/>
              </a:solidFill>
              <a:latin typeface="Calibri"/>
              <a:ea typeface="Calibri"/>
              <a:cs typeface="Calibri"/>
            </a:defRPr>
          </a:pPr>
          <a:endParaRPr lang="nb-NO"/>
        </a:p>
      </c:txPr>
    </c:legend>
    <c:plotVisOnly val="0"/>
    <c:dispBlanksAs val="gap"/>
    <c:showDLblsOverMax val="0"/>
  </c:chart>
  <c:spPr>
    <a:noFill/>
    <a:ln w="6350">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000000000000733" l="0.70000000000000062" r="0.70000000000000062" t="0.75000000000000733"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6029043955481"/>
          <c:y val="4.2195507462141082E-2"/>
          <c:w val="0.85957557632275794"/>
          <c:h val="0.722508509326657"/>
        </c:manualLayout>
      </c:layout>
      <c:barChart>
        <c:barDir val="col"/>
        <c:grouping val="clustered"/>
        <c:varyColors val="0"/>
        <c:ser>
          <c:idx val="0"/>
          <c:order val="0"/>
          <c:tx>
            <c:strRef>
              <c:f>'Summary of Building Performance'!$AC$36</c:f>
              <c:strCache>
                <c:ptCount val="1"/>
                <c:pt idx="0">
                  <c:v>Initial target setting</c:v>
                </c:pt>
              </c:strCache>
            </c:strRef>
          </c:tx>
          <c:spPr>
            <a:solidFill>
              <a:srgbClr val="56B146"/>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Performance'!$AC$37:$AC$58</c:f>
              <c:numCache>
                <c:formatCode>General</c:formatCode>
                <c:ptCount val="22"/>
                <c:pt idx="0">
                  <c:v>3</c:v>
                </c:pt>
                <c:pt idx="1">
                  <c:v>0</c:v>
                </c:pt>
                <c:pt idx="2">
                  <c:v>0</c:v>
                </c:pt>
                <c:pt idx="3">
                  <c:v>3</c:v>
                </c:pt>
                <c:pt idx="4">
                  <c:v>0</c:v>
                </c:pt>
                <c:pt idx="5">
                  <c:v>0</c:v>
                </c:pt>
                <c:pt idx="6">
                  <c:v>3</c:v>
                </c:pt>
                <c:pt idx="7">
                  <c:v>0</c:v>
                </c:pt>
                <c:pt idx="8">
                  <c:v>3</c:v>
                </c:pt>
                <c:pt idx="9">
                  <c:v>3</c:v>
                </c:pt>
                <c:pt idx="10">
                  <c:v>0</c:v>
                </c:pt>
                <c:pt idx="11">
                  <c:v>0</c:v>
                </c:pt>
                <c:pt idx="12">
                  <c:v>0</c:v>
                </c:pt>
                <c:pt idx="13">
                  <c:v>3</c:v>
                </c:pt>
                <c:pt idx="14">
                  <c:v>0</c:v>
                </c:pt>
                <c:pt idx="15">
                  <c:v>3</c:v>
                </c:pt>
                <c:pt idx="16">
                  <c:v>0</c:v>
                </c:pt>
                <c:pt idx="17">
                  <c:v>3</c:v>
                </c:pt>
                <c:pt idx="18">
                  <c:v>3</c:v>
                </c:pt>
                <c:pt idx="19">
                  <c:v>2</c:v>
                </c:pt>
                <c:pt idx="20">
                  <c:v>4</c:v>
                </c:pt>
                <c:pt idx="21">
                  <c:v>3</c:v>
                </c:pt>
              </c:numCache>
            </c:numRef>
          </c:val>
          <c:extLst>
            <c:ext xmlns:c16="http://schemas.microsoft.com/office/drawing/2014/chart" uri="{C3380CC4-5D6E-409C-BE32-E72D297353CC}">
              <c16:uniqueId val="{00000000-F474-4344-A64F-9500F3F284CF}"/>
            </c:ext>
          </c:extLst>
        </c:ser>
        <c:ser>
          <c:idx val="1"/>
          <c:order val="1"/>
          <c:tx>
            <c:strRef>
              <c:f>'Summary of Building Performance'!$AD$36</c:f>
              <c:strCache>
                <c:ptCount val="1"/>
                <c:pt idx="0">
                  <c:v>Design phase</c:v>
                </c:pt>
              </c:strCache>
            </c:strRef>
          </c:tx>
          <c:spPr>
            <a:solidFill>
              <a:srgbClr val="B9CDE5"/>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Performance'!$AD$37:$AD$58</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1-F474-4344-A64F-9500F3F284CF}"/>
            </c:ext>
          </c:extLst>
        </c:ser>
        <c:ser>
          <c:idx val="2"/>
          <c:order val="2"/>
          <c:tx>
            <c:strRef>
              <c:f>'Summary of Building Performance'!$AE$36</c:f>
              <c:strCache>
                <c:ptCount val="1"/>
                <c:pt idx="0">
                  <c:v>Construction phase</c:v>
                </c:pt>
              </c:strCache>
            </c:strRef>
          </c:tx>
          <c:spPr>
            <a:solidFill>
              <a:srgbClr val="C4BD97"/>
            </a:solidFill>
          </c:spPr>
          <c:invertIfNegative val="0"/>
          <c:cat>
            <c:strRef>
              <c:f>'Summary of Building Performance'!$AB$37:$AB$58</c:f>
              <c:strCache>
                <c:ptCount val="22"/>
                <c:pt idx="0">
                  <c:v>Man 01</c:v>
                </c:pt>
                <c:pt idx="1">
                  <c:v>Man 03</c:v>
                </c:pt>
                <c:pt idx="2">
                  <c:v>Man 04</c:v>
                </c:pt>
                <c:pt idx="3">
                  <c:v>Man 05</c:v>
                </c:pt>
                <c:pt idx="4">
                  <c:v>Hea 01</c:v>
                </c:pt>
                <c:pt idx="5">
                  <c:v>Hea 02</c:v>
                </c:pt>
                <c:pt idx="6">
                  <c:v>Ene 01</c:v>
                </c:pt>
                <c:pt idx="7">
                  <c:v>Ene 07</c:v>
                </c:pt>
                <c:pt idx="8">
                  <c:v>Tra 01</c:v>
                </c:pt>
                <c:pt idx="9">
                  <c:v>Wat 01</c:v>
                </c:pt>
                <c:pt idx="10">
                  <c:v>Mat 01</c:v>
                </c:pt>
                <c:pt idx="11">
                  <c:v>Mat 02</c:v>
                </c:pt>
                <c:pt idx="12">
                  <c:v>Mat 03</c:v>
                </c:pt>
                <c:pt idx="13">
                  <c:v>Mat 05</c:v>
                </c:pt>
                <c:pt idx="14">
                  <c:v>Mat 06</c:v>
                </c:pt>
                <c:pt idx="15">
                  <c:v>Mat 07</c:v>
                </c:pt>
                <c:pt idx="16">
                  <c:v>Wst 01</c:v>
                </c:pt>
                <c:pt idx="17">
                  <c:v>Wst 03</c:v>
                </c:pt>
                <c:pt idx="18">
                  <c:v>LE 01</c:v>
                </c:pt>
                <c:pt idx="19">
                  <c:v>LE 02</c:v>
                </c:pt>
                <c:pt idx="20">
                  <c:v>LE 04</c:v>
                </c:pt>
                <c:pt idx="21">
                  <c:v>LE 06</c:v>
                </c:pt>
              </c:strCache>
            </c:strRef>
          </c:cat>
          <c:val>
            <c:numRef>
              <c:f>'Summary of Building Performance'!$AE$37:$AE$58</c:f>
              <c:numCache>
                <c:formatCode>General</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c:ext xmlns:c16="http://schemas.microsoft.com/office/drawing/2014/chart" uri="{C3380CC4-5D6E-409C-BE32-E72D297353CC}">
              <c16:uniqueId val="{00000002-F474-4344-A64F-9500F3F284CF}"/>
            </c:ext>
          </c:extLst>
        </c:ser>
        <c:dLbls>
          <c:showLegendKey val="0"/>
          <c:showVal val="0"/>
          <c:showCatName val="0"/>
          <c:showSerName val="0"/>
          <c:showPercent val="0"/>
          <c:showBubbleSize val="0"/>
        </c:dLbls>
        <c:gapWidth val="75"/>
        <c:overlap val="-25"/>
        <c:axId val="621713800"/>
        <c:axId val="621718504"/>
      </c:barChart>
      <c:catAx>
        <c:axId val="621713800"/>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621718504"/>
        <c:crosses val="autoZero"/>
        <c:auto val="1"/>
        <c:lblAlgn val="ctr"/>
        <c:lblOffset val="100"/>
        <c:noMultiLvlLbl val="0"/>
      </c:catAx>
      <c:valAx>
        <c:axId val="621718504"/>
        <c:scaling>
          <c:orientation val="minMax"/>
          <c:max val="5"/>
        </c:scaling>
        <c:delete val="1"/>
        <c:axPos val="l"/>
        <c:majorGridlines/>
        <c:numFmt formatCode="0%" sourceLinked="0"/>
        <c:majorTickMark val="none"/>
        <c:minorTickMark val="none"/>
        <c:tickLblPos val="nextTo"/>
        <c:crossAx val="621713800"/>
        <c:crosses val="autoZero"/>
        <c:crossBetween val="between"/>
        <c:majorUnit val="1"/>
      </c:valAx>
    </c:plotArea>
    <c:legend>
      <c:legendPos val="b"/>
      <c:legendEntry>
        <c:idx val="1"/>
        <c:txPr>
          <a:bodyPr/>
          <a:lstStyle/>
          <a:p>
            <a:pPr>
              <a:defRPr sz="1000" b="0" i="0" u="none" strike="noStrike" baseline="0">
                <a:solidFill>
                  <a:srgbClr val="000000"/>
                </a:solidFill>
                <a:latin typeface="Calibri"/>
                <a:ea typeface="Calibri"/>
                <a:cs typeface="Calibri"/>
              </a:defRPr>
            </a:pPr>
            <a:endParaRPr lang="nb-NO"/>
          </a:p>
        </c:txPr>
      </c:legendEntry>
      <c:layout>
        <c:manualLayout>
          <c:xMode val="edge"/>
          <c:yMode val="edge"/>
          <c:x val="0.10425054779133901"/>
          <c:y val="0.88460329124958204"/>
          <c:w val="0.78340991326686749"/>
          <c:h val="9.2380977407431883E-2"/>
        </c:manualLayout>
      </c:layout>
      <c:overlay val="0"/>
      <c:txPr>
        <a:bodyPr/>
        <a:lstStyle/>
        <a:p>
          <a:pPr>
            <a:defRPr sz="1000" b="0" i="0" u="none" strike="noStrike" baseline="0">
              <a:solidFill>
                <a:srgbClr val="000000"/>
              </a:solidFill>
              <a:latin typeface="Calibri"/>
              <a:ea typeface="Calibri"/>
              <a:cs typeface="Calibri"/>
            </a:defRPr>
          </a:pPr>
          <a:endParaRPr lang="nb-NO"/>
        </a:p>
      </c:txPr>
    </c:legend>
    <c:plotVisOnly val="0"/>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000000000000733" l="0.70000000000000062" r="0.70000000000000062" t="0.75000000000000733"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47944</xdr:colOff>
      <xdr:row>9</xdr:row>
      <xdr:rowOff>9524</xdr:rowOff>
    </xdr:from>
    <xdr:to>
      <xdr:col>3</xdr:col>
      <xdr:colOff>970683</xdr:colOff>
      <xdr:row>18</xdr:row>
      <xdr:rowOff>95249</xdr:rowOff>
    </xdr:to>
    <xdr:pic>
      <xdr:nvPicPr>
        <xdr:cNvPr id="8" name="Picture 7">
          <a:extLst>
            <a:ext uri="{FF2B5EF4-FFF2-40B4-BE49-F238E27FC236}">
              <a16:creationId xmlns:a16="http://schemas.microsoft.com/office/drawing/2014/main" id="{514DB9FE-E69C-44D8-90E6-192BCA61C6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6544" y="4724399"/>
          <a:ext cx="2199089" cy="1724025"/>
        </a:xfrm>
        <a:prstGeom prst="rect">
          <a:avLst/>
        </a:prstGeom>
      </xdr:spPr>
    </xdr:pic>
    <xdr:clientData/>
  </xdr:twoCellAnchor>
  <xdr:twoCellAnchor editAs="oneCell">
    <xdr:from>
      <xdr:col>11</xdr:col>
      <xdr:colOff>352425</xdr:colOff>
      <xdr:row>0</xdr:row>
      <xdr:rowOff>142875</xdr:rowOff>
    </xdr:from>
    <xdr:to>
      <xdr:col>16</xdr:col>
      <xdr:colOff>51435</xdr:colOff>
      <xdr:row>4</xdr:row>
      <xdr:rowOff>32138</xdr:rowOff>
    </xdr:to>
    <xdr:pic>
      <xdr:nvPicPr>
        <xdr:cNvPr id="9" name="Bilde 7">
          <a:extLst>
            <a:ext uri="{FF2B5EF4-FFF2-40B4-BE49-F238E27FC236}">
              <a16:creationId xmlns:a16="http://schemas.microsoft.com/office/drawing/2014/main" id="{2E416739-5696-4333-80A2-9773A284A9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38975" y="142875"/>
          <a:ext cx="2823210" cy="670313"/>
        </a:xfrm>
        <a:prstGeom prst="rect">
          <a:avLst/>
        </a:prstGeom>
      </xdr:spPr>
    </xdr:pic>
    <xdr:clientData/>
  </xdr:twoCellAnchor>
  <xdr:twoCellAnchor editAs="oneCell">
    <xdr:from>
      <xdr:col>5</xdr:col>
      <xdr:colOff>219074</xdr:colOff>
      <xdr:row>14</xdr:row>
      <xdr:rowOff>96843</xdr:rowOff>
    </xdr:from>
    <xdr:to>
      <xdr:col>8</xdr:col>
      <xdr:colOff>542925</xdr:colOff>
      <xdr:row>19</xdr:row>
      <xdr:rowOff>59076</xdr:rowOff>
    </xdr:to>
    <xdr:pic>
      <xdr:nvPicPr>
        <xdr:cNvPr id="3" name="Picture 2">
          <a:extLst>
            <a:ext uri="{FF2B5EF4-FFF2-40B4-BE49-F238E27FC236}">
              <a16:creationId xmlns:a16="http://schemas.microsoft.com/office/drawing/2014/main" id="{AA1CBD4F-DC3B-4EE6-AD68-16DE5317B17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2324" y="6307143"/>
          <a:ext cx="2095501" cy="9147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60512</xdr:colOff>
      <xdr:row>39</xdr:row>
      <xdr:rowOff>729252</xdr:rowOff>
    </xdr:from>
    <xdr:to>
      <xdr:col>2</xdr:col>
      <xdr:colOff>2434777</xdr:colOff>
      <xdr:row>41</xdr:row>
      <xdr:rowOff>34846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1130" y="9828428"/>
          <a:ext cx="2366645" cy="526812"/>
        </a:xfrm>
        <a:prstGeom prst="rect">
          <a:avLst/>
        </a:prstGeom>
      </xdr:spPr>
    </xdr:pic>
    <xdr:clientData/>
  </xdr:twoCellAnchor>
  <xdr:twoCellAnchor>
    <xdr:from>
      <xdr:col>2</xdr:col>
      <xdr:colOff>3390900</xdr:colOff>
      <xdr:row>52</xdr:row>
      <xdr:rowOff>180975</xdr:rowOff>
    </xdr:from>
    <xdr:to>
      <xdr:col>4</xdr:col>
      <xdr:colOff>19050</xdr:colOff>
      <xdr:row>54</xdr:row>
      <xdr:rowOff>57150</xdr:rowOff>
    </xdr:to>
    <xdr:sp macro="" textlink="">
      <xdr:nvSpPr>
        <xdr:cNvPr id="6" name="TextBox 5">
          <a:extLst>
            <a:ext uri="{FF2B5EF4-FFF2-40B4-BE49-F238E27FC236}">
              <a16:creationId xmlns:a16="http://schemas.microsoft.com/office/drawing/2014/main" id="{A26ADC79-7EC8-47E4-B5D3-1CCBDADB2BE3}"/>
            </a:ext>
          </a:extLst>
        </xdr:cNvPr>
        <xdr:cNvSpPr txBox="1"/>
      </xdr:nvSpPr>
      <xdr:spPr>
        <a:xfrm>
          <a:off x="6096000" y="13611225"/>
          <a:ext cx="99060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nb-NO" sz="1100">
              <a:solidFill>
                <a:sysClr val="windowText" lastClr="000000"/>
              </a:solidFill>
            </a:rPr>
            <a:t>Tool date:</a:t>
          </a:r>
        </a:p>
      </xdr:txBody>
    </xdr:sp>
    <xdr:clientData/>
  </xdr:twoCellAnchor>
  <xdr:twoCellAnchor editAs="oneCell">
    <xdr:from>
      <xdr:col>5</xdr:col>
      <xdr:colOff>981075</xdr:colOff>
      <xdr:row>0</xdr:row>
      <xdr:rowOff>123825</xdr:rowOff>
    </xdr:from>
    <xdr:to>
      <xdr:col>53</xdr:col>
      <xdr:colOff>33655</xdr:colOff>
      <xdr:row>2</xdr:row>
      <xdr:rowOff>71508</xdr:rowOff>
    </xdr:to>
    <xdr:pic>
      <xdr:nvPicPr>
        <xdr:cNvPr id="5" name="Bilde 6">
          <a:extLst>
            <a:ext uri="{FF2B5EF4-FFF2-40B4-BE49-F238E27FC236}">
              <a16:creationId xmlns:a16="http://schemas.microsoft.com/office/drawing/2014/main" id="{D6381F30-8EEF-46F6-8E0F-07F579C38F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859000" y="123825"/>
          <a:ext cx="2815590" cy="6703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572498</xdr:colOff>
      <xdr:row>0</xdr:row>
      <xdr:rowOff>38100</xdr:rowOff>
    </xdr:from>
    <xdr:to>
      <xdr:col>53</xdr:col>
      <xdr:colOff>33685</xdr:colOff>
      <xdr:row>2</xdr:row>
      <xdr:rowOff>1247</xdr:rowOff>
    </xdr:to>
    <xdr:pic>
      <xdr:nvPicPr>
        <xdr:cNvPr id="3" name="Bilde 2">
          <a:extLst>
            <a:ext uri="{FF2B5EF4-FFF2-40B4-BE49-F238E27FC236}">
              <a16:creationId xmlns:a16="http://schemas.microsoft.com/office/drawing/2014/main" id="{D95C09B3-24AB-4E08-9EEA-97C0984520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799"/>
        <a:stretch/>
      </xdr:blipFill>
      <xdr:spPr>
        <a:xfrm>
          <a:off x="18071604" y="38100"/>
          <a:ext cx="2921003" cy="5817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64</xdr:col>
      <xdr:colOff>69476</xdr:colOff>
      <xdr:row>270</xdr:row>
      <xdr:rowOff>80902</xdr:rowOff>
    </xdr:from>
    <xdr:to>
      <xdr:col>72</xdr:col>
      <xdr:colOff>119005</xdr:colOff>
      <xdr:row>275</xdr:row>
      <xdr:rowOff>229682</xdr:rowOff>
    </xdr:to>
    <xdr:pic>
      <xdr:nvPicPr>
        <xdr:cNvPr id="2" name="Picture 1">
          <a:extLst>
            <a:ext uri="{FF2B5EF4-FFF2-40B4-BE49-F238E27FC236}">
              <a16:creationId xmlns:a16="http://schemas.microsoft.com/office/drawing/2014/main" id="{855A0ECF-4CAF-4CEB-806C-D2BD151BA4A2}"/>
            </a:ext>
          </a:extLst>
        </xdr:cNvPr>
        <xdr:cNvPicPr>
          <a:picLocks noChangeAspect="1"/>
        </xdr:cNvPicPr>
      </xdr:nvPicPr>
      <xdr:blipFill>
        <a:blip xmlns:r="http://schemas.openxmlformats.org/officeDocument/2006/relationships" r:embed="rId1"/>
        <a:stretch>
          <a:fillRect/>
        </a:stretch>
      </xdr:blipFill>
      <xdr:spPr>
        <a:xfrm>
          <a:off x="42371682" y="58127373"/>
          <a:ext cx="5654374" cy="10917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8967</xdr:colOff>
      <xdr:row>14</xdr:row>
      <xdr:rowOff>96932</xdr:rowOff>
    </xdr:from>
    <xdr:to>
      <xdr:col>7</xdr:col>
      <xdr:colOff>259773</xdr:colOff>
      <xdr:row>31</xdr:row>
      <xdr:rowOff>141755</xdr:rowOff>
    </xdr:to>
    <xdr:graphicFrame macro="">
      <xdr:nvGraphicFramePr>
        <xdr:cNvPr id="6" name="Chart 4">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376152</xdr:colOff>
      <xdr:row>14</xdr:row>
      <xdr:rowOff>83594</xdr:rowOff>
    </xdr:from>
    <xdr:to>
      <xdr:col>15</xdr:col>
      <xdr:colOff>441960</xdr:colOff>
      <xdr:row>31</xdr:row>
      <xdr:rowOff>155873</xdr:rowOff>
    </xdr:to>
    <xdr:graphicFrame macro="">
      <xdr:nvGraphicFramePr>
        <xdr:cNvPr id="8" name="Chart 4">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412173</xdr:colOff>
      <xdr:row>27</xdr:row>
      <xdr:rowOff>9525</xdr:rowOff>
    </xdr:from>
    <xdr:to>
      <xdr:col>8</xdr:col>
      <xdr:colOff>688398</xdr:colOff>
      <xdr:row>28</xdr:row>
      <xdr:rowOff>47625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685559" y="6010275"/>
          <a:ext cx="1012248"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Unclassified</a:t>
          </a:r>
        </a:p>
      </xdr:txBody>
    </xdr:sp>
    <xdr:clientData/>
  </xdr:twoCellAnchor>
  <xdr:twoCellAnchor>
    <xdr:from>
      <xdr:col>8</xdr:col>
      <xdr:colOff>40698</xdr:colOff>
      <xdr:row>24</xdr:row>
      <xdr:rowOff>76199</xdr:rowOff>
    </xdr:from>
    <xdr:to>
      <xdr:col>8</xdr:col>
      <xdr:colOff>516948</xdr:colOff>
      <xdr:row>25</xdr:row>
      <xdr:rowOff>142874</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050107" y="5505449"/>
          <a:ext cx="4762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Pass</a:t>
          </a:r>
        </a:p>
      </xdr:txBody>
    </xdr:sp>
    <xdr:clientData/>
  </xdr:twoCellAnchor>
  <xdr:twoCellAnchor>
    <xdr:from>
      <xdr:col>8</xdr:col>
      <xdr:colOff>12123</xdr:colOff>
      <xdr:row>21</xdr:row>
      <xdr:rowOff>190499</xdr:rowOff>
    </xdr:from>
    <xdr:to>
      <xdr:col>8</xdr:col>
      <xdr:colOff>497898</xdr:colOff>
      <xdr:row>23</xdr:row>
      <xdr:rowOff>66674</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021532" y="5048249"/>
          <a:ext cx="485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Good</a:t>
          </a:r>
        </a:p>
      </xdr:txBody>
    </xdr:sp>
    <xdr:clientData/>
  </xdr:twoCellAnchor>
  <xdr:twoCellAnchor>
    <xdr:from>
      <xdr:col>7</xdr:col>
      <xdr:colOff>497898</xdr:colOff>
      <xdr:row>19</xdr:row>
      <xdr:rowOff>85725</xdr:rowOff>
    </xdr:from>
    <xdr:to>
      <xdr:col>8</xdr:col>
      <xdr:colOff>535998</xdr:colOff>
      <xdr:row>20</xdr:row>
      <xdr:rowOff>180975</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5771284" y="4562475"/>
          <a:ext cx="774123"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Very Good</a:t>
          </a:r>
        </a:p>
      </xdr:txBody>
    </xdr:sp>
    <xdr:clientData/>
  </xdr:twoCellAnchor>
  <xdr:twoCellAnchor>
    <xdr:from>
      <xdr:col>7</xdr:col>
      <xdr:colOff>574098</xdr:colOff>
      <xdr:row>17</xdr:row>
      <xdr:rowOff>9525</xdr:rowOff>
    </xdr:from>
    <xdr:to>
      <xdr:col>8</xdr:col>
      <xdr:colOff>516948</xdr:colOff>
      <xdr:row>18</xdr:row>
      <xdr:rowOff>66675</xdr:rowOff>
    </xdr:to>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5847484" y="4105275"/>
          <a:ext cx="678873"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Excellent</a:t>
          </a:r>
        </a:p>
      </xdr:txBody>
    </xdr:sp>
    <xdr:clientData/>
  </xdr:twoCellAnchor>
  <xdr:twoCellAnchor>
    <xdr:from>
      <xdr:col>7</xdr:col>
      <xdr:colOff>421698</xdr:colOff>
      <xdr:row>14</xdr:row>
      <xdr:rowOff>95250</xdr:rowOff>
    </xdr:from>
    <xdr:to>
      <xdr:col>8</xdr:col>
      <xdr:colOff>697923</xdr:colOff>
      <xdr:row>15</xdr:row>
      <xdr:rowOff>133350</xdr:rowOff>
    </xdr:to>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5695084" y="3619500"/>
          <a:ext cx="1012248"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000"/>
            <a:t>Outstanding</a:t>
          </a:r>
        </a:p>
      </xdr:txBody>
    </xdr:sp>
    <xdr:clientData/>
  </xdr:twoCellAnchor>
  <xdr:twoCellAnchor editAs="oneCell">
    <xdr:from>
      <xdr:col>12</xdr:col>
      <xdr:colOff>347052</xdr:colOff>
      <xdr:row>0</xdr:row>
      <xdr:rowOff>116898</xdr:rowOff>
    </xdr:from>
    <xdr:to>
      <xdr:col>15</xdr:col>
      <xdr:colOff>410493</xdr:colOff>
      <xdr:row>2</xdr:row>
      <xdr:rowOff>77281</xdr:rowOff>
    </xdr:to>
    <xdr:pic>
      <xdr:nvPicPr>
        <xdr:cNvPr id="14" name="Bilde 14">
          <a:extLst>
            <a:ext uri="{FF2B5EF4-FFF2-40B4-BE49-F238E27FC236}">
              <a16:creationId xmlns:a16="http://schemas.microsoft.com/office/drawing/2014/main" id="{1C2864DC-DD23-4B28-9CDE-E141AEDE13D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963492" y="116898"/>
          <a:ext cx="2837121" cy="6842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314871</xdr:colOff>
      <xdr:row>0</xdr:row>
      <xdr:rowOff>0</xdr:rowOff>
    </xdr:from>
    <xdr:to>
      <xdr:col>25</xdr:col>
      <xdr:colOff>1850299</xdr:colOff>
      <xdr:row>0</xdr:row>
      <xdr:rowOff>602822</xdr:rowOff>
    </xdr:to>
    <xdr:pic>
      <xdr:nvPicPr>
        <xdr:cNvPr id="3" name="Bilde 3">
          <a:extLst>
            <a:ext uri="{FF2B5EF4-FFF2-40B4-BE49-F238E27FC236}">
              <a16:creationId xmlns:a16="http://schemas.microsoft.com/office/drawing/2014/main" id="{5E8C092E-9A9A-47F0-A1C5-F1236DAD709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98"/>
        <a:stretch/>
      </xdr:blipFill>
      <xdr:spPr>
        <a:xfrm>
          <a:off x="21052157" y="0"/>
          <a:ext cx="2837903" cy="60472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247650</xdr:colOff>
      <xdr:row>0</xdr:row>
      <xdr:rowOff>142875</xdr:rowOff>
    </xdr:from>
    <xdr:to>
      <xdr:col>16</xdr:col>
      <xdr:colOff>41910</xdr:colOff>
      <xdr:row>2</xdr:row>
      <xdr:rowOff>79763</xdr:rowOff>
    </xdr:to>
    <xdr:pic>
      <xdr:nvPicPr>
        <xdr:cNvPr id="4" name="Bilde 2">
          <a:extLst>
            <a:ext uri="{FF2B5EF4-FFF2-40B4-BE49-F238E27FC236}">
              <a16:creationId xmlns:a16="http://schemas.microsoft.com/office/drawing/2014/main" id="{BAD9EE81-3374-42DE-8AFE-1DDEF62D0E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96175" y="142875"/>
          <a:ext cx="2846070" cy="662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8"/>
  <sheetViews>
    <sheetView showGridLines="0" tabSelected="1" zoomScaleNormal="100" workbookViewId="0">
      <selection activeCell="U5" sqref="U5"/>
    </sheetView>
  </sheetViews>
  <sheetFormatPr defaultColWidth="8.85546875" defaultRowHeight="15" x14ac:dyDescent="0.25"/>
  <cols>
    <col min="1" max="1" width="3.42578125" style="621" customWidth="1"/>
    <col min="2" max="2" width="10.28515625" style="621" customWidth="1"/>
    <col min="3" max="3" width="8.85546875" style="621"/>
    <col min="4" max="4" width="15.7109375" style="621" bestFit="1" customWidth="1"/>
    <col min="5" max="11" width="8.85546875" style="621"/>
    <col min="12" max="12" width="11.42578125" style="621" customWidth="1"/>
    <col min="13" max="17" width="8.85546875" style="621"/>
    <col min="18" max="18" width="7.42578125" style="621" customWidth="1"/>
    <col min="19" max="16384" width="8.85546875" style="621"/>
  </cols>
  <sheetData>
    <row r="1" spans="1:21" x14ac:dyDescent="0.25">
      <c r="A1" s="620"/>
      <c r="B1" s="620"/>
      <c r="C1" s="620"/>
      <c r="D1" s="620"/>
      <c r="E1" s="620"/>
      <c r="F1" s="620"/>
      <c r="G1" s="620"/>
      <c r="H1" s="620"/>
      <c r="I1" s="620"/>
      <c r="J1" s="620"/>
      <c r="K1" s="620"/>
      <c r="L1" s="620"/>
      <c r="M1" s="620"/>
      <c r="N1" s="620"/>
      <c r="O1" s="620"/>
      <c r="P1" s="620"/>
    </row>
    <row r="2" spans="1:21" ht="21" x14ac:dyDescent="0.25">
      <c r="A2" s="620"/>
      <c r="B2" s="725" t="s">
        <v>965</v>
      </c>
      <c r="C2" s="623"/>
      <c r="D2" s="623"/>
      <c r="E2" s="623"/>
      <c r="F2" s="623"/>
      <c r="G2" s="623"/>
      <c r="H2" s="623"/>
      <c r="I2" s="623"/>
      <c r="J2" s="623"/>
      <c r="K2" s="623"/>
      <c r="L2" s="624"/>
      <c r="M2" s="624"/>
      <c r="N2" s="624"/>
      <c r="O2" s="624"/>
      <c r="P2" s="635" t="str">
        <f>IF('Manuell filtrering og justering'!I2='Manuell filtrering og justering'!J2,"Bespoke","")</f>
        <v/>
      </c>
    </row>
    <row r="3" spans="1:21" ht="21" x14ac:dyDescent="0.25">
      <c r="A3" s="620"/>
      <c r="B3" s="622" t="s">
        <v>5</v>
      </c>
      <c r="C3" s="625" t="str">
        <f>TVC_current_version</f>
        <v>1.3</v>
      </c>
      <c r="D3" s="626">
        <f>TVC_current_date</f>
        <v>44736</v>
      </c>
      <c r="E3" s="623"/>
      <c r="F3" s="623"/>
      <c r="G3" s="623"/>
      <c r="H3" s="623"/>
      <c r="I3" s="623"/>
      <c r="J3" s="623"/>
      <c r="K3" s="623"/>
      <c r="L3" s="624"/>
      <c r="M3" s="624"/>
      <c r="N3" s="624"/>
      <c r="O3" s="624"/>
      <c r="P3" s="624"/>
      <c r="Q3" s="627"/>
      <c r="R3" s="627"/>
    </row>
    <row r="4" spans="1:21" ht="4.5" customHeight="1" x14ac:dyDescent="0.25">
      <c r="A4" s="628"/>
      <c r="B4" s="629"/>
      <c r="C4" s="628"/>
      <c r="D4" s="628"/>
      <c r="E4" s="628"/>
      <c r="F4" s="628"/>
      <c r="G4" s="628"/>
      <c r="H4" s="628"/>
      <c r="I4" s="628"/>
      <c r="J4" s="628"/>
      <c r="K4" s="628"/>
      <c r="L4" s="628"/>
      <c r="M4" s="628"/>
      <c r="N4" s="628"/>
      <c r="O4" s="628"/>
      <c r="P4" s="628"/>
      <c r="Q4" s="627"/>
      <c r="R4" s="627"/>
      <c r="S4" s="627"/>
      <c r="T4" s="627"/>
      <c r="U4" s="627"/>
    </row>
    <row r="5" spans="1:21" ht="126.75" customHeight="1" x14ac:dyDescent="0.25">
      <c r="A5" s="628"/>
      <c r="B5" s="1277" t="s">
        <v>1024</v>
      </c>
      <c r="C5" s="1278"/>
      <c r="D5" s="1278"/>
      <c r="E5" s="1278"/>
      <c r="F5" s="1278"/>
      <c r="G5" s="1278"/>
      <c r="H5" s="1278"/>
      <c r="I5" s="1278"/>
      <c r="J5" s="1278"/>
      <c r="K5" s="1278"/>
      <c r="L5" s="1278"/>
      <c r="M5" s="1278"/>
      <c r="N5" s="1278"/>
      <c r="O5" s="1278"/>
      <c r="P5" s="1278"/>
      <c r="Q5" s="627"/>
      <c r="R5" s="627"/>
      <c r="S5" s="627"/>
      <c r="T5" s="627"/>
      <c r="U5" s="627"/>
    </row>
    <row r="6" spans="1:21" ht="85.5" customHeight="1" x14ac:dyDescent="0.25">
      <c r="A6" s="628"/>
      <c r="B6" s="1277" t="s">
        <v>966</v>
      </c>
      <c r="C6" s="1278"/>
      <c r="D6" s="1278"/>
      <c r="E6" s="1278"/>
      <c r="F6" s="1278"/>
      <c r="G6" s="1278"/>
      <c r="H6" s="1278"/>
      <c r="I6" s="1278"/>
      <c r="J6" s="1278"/>
      <c r="K6" s="1278"/>
      <c r="L6" s="1278"/>
      <c r="M6" s="1278"/>
      <c r="N6" s="1278"/>
      <c r="O6" s="1278"/>
      <c r="P6" s="1278"/>
      <c r="Q6" s="627"/>
      <c r="R6" s="627"/>
      <c r="S6" s="627"/>
      <c r="T6" s="627"/>
      <c r="U6" s="627"/>
    </row>
    <row r="7" spans="1:21" ht="80.25" customHeight="1" x14ac:dyDescent="0.25">
      <c r="A7" s="628"/>
      <c r="B7" s="1277" t="s">
        <v>1025</v>
      </c>
      <c r="C7" s="1278"/>
      <c r="D7" s="1278"/>
      <c r="E7" s="1278"/>
      <c r="F7" s="1278"/>
      <c r="G7" s="1278"/>
      <c r="H7" s="1278"/>
      <c r="I7" s="1278"/>
      <c r="J7" s="1278"/>
      <c r="K7" s="1278"/>
      <c r="L7" s="1278"/>
      <c r="M7" s="1278"/>
      <c r="N7" s="1278"/>
      <c r="O7" s="1278"/>
      <c r="P7" s="1278"/>
      <c r="Q7" s="627"/>
      <c r="R7" s="627"/>
      <c r="S7" s="627"/>
      <c r="T7" s="627"/>
      <c r="U7" s="627"/>
    </row>
    <row r="8" spans="1:21" ht="2.25" customHeight="1" x14ac:dyDescent="0.25">
      <c r="A8" s="628"/>
      <c r="B8" s="628"/>
      <c r="C8" s="628"/>
      <c r="D8" s="628"/>
      <c r="E8" s="628"/>
      <c r="F8" s="628"/>
      <c r="G8" s="628"/>
      <c r="H8" s="628"/>
      <c r="I8" s="628"/>
      <c r="J8" s="628"/>
      <c r="K8" s="628"/>
      <c r="L8" s="628"/>
      <c r="M8" s="628"/>
      <c r="N8" s="628"/>
      <c r="O8" s="628"/>
      <c r="P8" s="629"/>
      <c r="Q8" s="627"/>
      <c r="R8" s="627"/>
      <c r="S8" s="627"/>
      <c r="T8" s="627"/>
      <c r="U8" s="627"/>
    </row>
    <row r="9" spans="1:21" x14ac:dyDescent="0.25">
      <c r="A9" s="628"/>
      <c r="B9" s="631" t="s">
        <v>1026</v>
      </c>
      <c r="C9" s="628"/>
      <c r="D9" s="628"/>
      <c r="E9" s="628"/>
      <c r="F9" s="628"/>
      <c r="G9" s="628"/>
      <c r="H9" s="628"/>
      <c r="I9" s="628"/>
      <c r="J9" s="628"/>
      <c r="K9" s="628"/>
      <c r="L9" s="628"/>
      <c r="M9" s="628"/>
      <c r="N9" s="628"/>
      <c r="O9" s="628"/>
      <c r="P9" s="628"/>
      <c r="Q9" s="627"/>
      <c r="R9" s="627"/>
      <c r="S9" s="627"/>
      <c r="T9" s="627"/>
      <c r="U9" s="627"/>
    </row>
    <row r="10" spans="1:21" ht="9" customHeight="1" x14ac:dyDescent="0.25">
      <c r="A10" s="628"/>
      <c r="B10" s="628"/>
      <c r="C10" s="628"/>
      <c r="D10" s="628"/>
      <c r="E10" s="628"/>
      <c r="F10" s="628"/>
      <c r="G10" s="628"/>
      <c r="H10" s="628"/>
      <c r="I10" s="628"/>
      <c r="J10" s="628"/>
      <c r="K10" s="628"/>
      <c r="L10" s="628"/>
      <c r="M10" s="628"/>
      <c r="N10" s="628"/>
      <c r="O10" s="628"/>
      <c r="P10" s="628"/>
      <c r="Q10" s="627"/>
      <c r="R10" s="627"/>
      <c r="S10" s="627"/>
      <c r="T10" s="627"/>
      <c r="U10" s="627"/>
    </row>
    <row r="11" spans="1:21" x14ac:dyDescent="0.25">
      <c r="A11" s="628"/>
      <c r="B11" s="628"/>
      <c r="C11" s="628"/>
      <c r="D11" s="628"/>
      <c r="E11" s="628"/>
      <c r="F11" s="628"/>
      <c r="G11" s="628"/>
      <c r="H11" s="628"/>
      <c r="I11" s="628"/>
      <c r="J11" s="628"/>
      <c r="K11" s="628"/>
      <c r="L11" s="628"/>
      <c r="M11" s="628"/>
      <c r="N11" s="628"/>
      <c r="O11" s="628"/>
      <c r="P11" s="628"/>
      <c r="Q11" s="627"/>
      <c r="R11" s="627"/>
      <c r="S11" s="627"/>
      <c r="T11" s="627"/>
      <c r="U11" s="627"/>
    </row>
    <row r="12" spans="1:21" x14ac:dyDescent="0.25">
      <c r="A12" s="628"/>
      <c r="B12" s="628"/>
      <c r="C12" s="628"/>
      <c r="D12" s="628"/>
      <c r="E12" s="628"/>
      <c r="F12" s="628"/>
      <c r="G12" s="628"/>
      <c r="H12" s="628"/>
      <c r="I12" s="628"/>
      <c r="J12" s="628"/>
      <c r="K12" s="628"/>
      <c r="L12" s="628"/>
      <c r="M12" s="628"/>
      <c r="N12" s="628"/>
      <c r="O12" s="628"/>
      <c r="P12" s="628"/>
      <c r="Q12" s="627"/>
      <c r="R12" s="627"/>
      <c r="S12" s="627"/>
      <c r="T12" s="627"/>
      <c r="U12" s="627"/>
    </row>
    <row r="13" spans="1:21" x14ac:dyDescent="0.25">
      <c r="A13" s="628"/>
      <c r="B13" s="628"/>
      <c r="C13" s="628"/>
      <c r="D13" s="628"/>
      <c r="E13" s="628"/>
      <c r="F13" s="628"/>
      <c r="G13" s="628"/>
      <c r="H13" s="628"/>
      <c r="I13" s="628"/>
      <c r="J13" s="628"/>
      <c r="K13" s="628"/>
      <c r="L13" s="628"/>
      <c r="M13" s="628"/>
      <c r="N13" s="628"/>
      <c r="O13" s="628"/>
      <c r="P13" s="628"/>
      <c r="Q13" s="627"/>
      <c r="R13" s="627"/>
      <c r="S13" s="627"/>
      <c r="T13" s="627"/>
      <c r="U13" s="627"/>
    </row>
    <row r="14" spans="1:21" x14ac:dyDescent="0.25">
      <c r="A14" s="628"/>
      <c r="B14" s="628"/>
      <c r="C14" s="628"/>
      <c r="D14" s="628"/>
      <c r="E14" s="628"/>
      <c r="F14" s="628"/>
      <c r="G14" s="628"/>
      <c r="H14" s="628"/>
      <c r="I14" s="628"/>
      <c r="J14" s="628"/>
      <c r="K14" s="628"/>
      <c r="L14" s="628"/>
      <c r="M14" s="628"/>
      <c r="N14" s="628"/>
      <c r="O14" s="628"/>
      <c r="P14" s="628"/>
      <c r="Q14" s="627"/>
      <c r="R14" s="627"/>
      <c r="S14" s="627"/>
      <c r="T14" s="627"/>
      <c r="U14" s="627"/>
    </row>
    <row r="15" spans="1:21" x14ac:dyDescent="0.25">
      <c r="A15" s="628"/>
      <c r="B15" s="628"/>
      <c r="C15" s="628"/>
      <c r="D15" s="628"/>
      <c r="E15" s="628"/>
      <c r="F15" s="628"/>
      <c r="G15" s="628"/>
      <c r="H15" s="628"/>
      <c r="I15" s="628"/>
      <c r="J15" s="628"/>
      <c r="K15" s="628"/>
      <c r="L15" s="628"/>
      <c r="M15" s="628"/>
      <c r="N15" s="628"/>
      <c r="O15" s="628"/>
      <c r="P15" s="628"/>
      <c r="Q15" s="627"/>
      <c r="R15" s="627"/>
      <c r="S15" s="627"/>
      <c r="T15" s="627"/>
      <c r="U15" s="627"/>
    </row>
    <row r="16" spans="1:21" x14ac:dyDescent="0.25">
      <c r="A16" s="628"/>
      <c r="B16" s="628"/>
      <c r="C16" s="628"/>
      <c r="D16" s="628"/>
      <c r="E16" s="628"/>
      <c r="F16" s="628"/>
      <c r="G16" s="628"/>
      <c r="H16" s="628"/>
      <c r="I16" s="628"/>
      <c r="J16" s="628"/>
      <c r="K16" s="628"/>
      <c r="L16" s="628"/>
      <c r="M16" s="628"/>
      <c r="N16" s="628"/>
      <c r="O16" s="628"/>
      <c r="P16" s="628"/>
      <c r="Q16" s="627"/>
      <c r="R16" s="627"/>
      <c r="S16" s="627"/>
      <c r="T16" s="627"/>
      <c r="U16" s="627"/>
    </row>
    <row r="17" spans="1:21" x14ac:dyDescent="0.25">
      <c r="A17" s="628"/>
      <c r="B17" s="628"/>
      <c r="C17" s="628"/>
      <c r="D17" s="628"/>
      <c r="E17" s="628"/>
      <c r="F17" s="628"/>
      <c r="G17" s="628"/>
      <c r="H17" s="628"/>
      <c r="I17" s="630"/>
      <c r="J17" s="628"/>
      <c r="K17" s="628"/>
      <c r="L17" s="628"/>
      <c r="M17" s="628"/>
      <c r="N17" s="628"/>
      <c r="O17" s="628"/>
      <c r="P17" s="628"/>
      <c r="Q17" s="627"/>
      <c r="R17" s="627"/>
      <c r="S17" s="627"/>
      <c r="T17" s="627"/>
      <c r="U17" s="627"/>
    </row>
    <row r="18" spans="1:21" x14ac:dyDescent="0.25">
      <c r="A18" s="627"/>
      <c r="B18" s="627"/>
      <c r="C18" s="627"/>
      <c r="D18" s="627"/>
      <c r="E18" s="627"/>
      <c r="F18" s="627"/>
      <c r="G18" s="627"/>
      <c r="H18" s="627"/>
      <c r="I18" s="627"/>
      <c r="J18" s="627"/>
      <c r="K18" s="627"/>
      <c r="L18" s="627"/>
      <c r="M18" s="627"/>
      <c r="N18" s="627"/>
      <c r="O18" s="627"/>
      <c r="P18" s="627"/>
      <c r="Q18" s="627"/>
      <c r="R18" s="627"/>
      <c r="S18" s="627"/>
      <c r="T18" s="627"/>
      <c r="U18" s="627"/>
    </row>
  </sheetData>
  <sheetProtection algorithmName="SHA-512" hashValue="/JVbtRhYDF8YgNjpL7L2GuNHBAtafvonwT2HjSRWWSeTKXySYZiwgiAkwOJT4oWWu9CtQGMTeXpEkWHFKTtZHg==" saltValue="ozC9LegFm6PdmEXACPbPOQ==" spinCount="100000" sheet="1" objects="1" scenarios="1"/>
  <mergeCells count="3">
    <mergeCell ref="B5:P5"/>
    <mergeCell ref="B6:P6"/>
    <mergeCell ref="B7:P7"/>
  </mergeCells>
  <pageMargins left="0.7" right="0.7" top="0.75" bottom="0.75" header="0.3" footer="0.3"/>
  <pageSetup paperSize="9" scale="91" orientation="landscape"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5:B22"/>
  <sheetViews>
    <sheetView workbookViewId="0">
      <selection activeCell="H9" sqref="H9:I9"/>
    </sheetView>
  </sheetViews>
  <sheetFormatPr defaultColWidth="8.85546875" defaultRowHeight="15" x14ac:dyDescent="0.25"/>
  <cols>
    <col min="2" max="2" width="9.140625" customWidth="1"/>
  </cols>
  <sheetData>
    <row r="5" spans="2:2" x14ac:dyDescent="0.25">
      <c r="B5" s="30"/>
    </row>
    <row r="6" spans="2:2" x14ac:dyDescent="0.25">
      <c r="B6" s="30"/>
    </row>
    <row r="7" spans="2:2" x14ac:dyDescent="0.25">
      <c r="B7" s="30"/>
    </row>
    <row r="8" spans="2:2" x14ac:dyDescent="0.25">
      <c r="B8" s="30"/>
    </row>
    <row r="9" spans="2:2" x14ac:dyDescent="0.25">
      <c r="B9" s="30"/>
    </row>
    <row r="10" spans="2:2" x14ac:dyDescent="0.25">
      <c r="B10" s="30"/>
    </row>
    <row r="11" spans="2:2" x14ac:dyDescent="0.25">
      <c r="B11" s="30"/>
    </row>
    <row r="12" spans="2:2" x14ac:dyDescent="0.25">
      <c r="B12" s="30"/>
    </row>
    <row r="13" spans="2:2" x14ac:dyDescent="0.25">
      <c r="B13" s="30"/>
    </row>
    <row r="14" spans="2:2" x14ac:dyDescent="0.25">
      <c r="B14" s="30"/>
    </row>
    <row r="15" spans="2:2" x14ac:dyDescent="0.25">
      <c r="B15" s="30"/>
    </row>
    <row r="16" spans="2:2" x14ac:dyDescent="0.25">
      <c r="B16" s="30"/>
    </row>
    <row r="17" spans="2:2" x14ac:dyDescent="0.25">
      <c r="B17" s="30"/>
    </row>
    <row r="18" spans="2:2" x14ac:dyDescent="0.25">
      <c r="B18" s="30"/>
    </row>
    <row r="19" spans="2:2" x14ac:dyDescent="0.25">
      <c r="B19" s="30"/>
    </row>
    <row r="20" spans="2:2" x14ac:dyDescent="0.25">
      <c r="B20" s="30"/>
    </row>
    <row r="21" spans="2:2" x14ac:dyDescent="0.25">
      <c r="B21" s="30"/>
    </row>
    <row r="22" spans="2:2" x14ac:dyDescent="0.25">
      <c r="B22" s="3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election activeCell="H9" sqref="H9:I9"/>
    </sheetView>
  </sheetViews>
  <sheetFormatPr defaultColWidth="8.8554687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H9" sqref="H9:I9"/>
    </sheetView>
  </sheetViews>
  <sheetFormatPr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A186"/>
  <sheetViews>
    <sheetView showGridLines="0" zoomScale="85" zoomScaleNormal="85" zoomScalePageLayoutView="90" workbookViewId="0">
      <pane ySplit="3" topLeftCell="A4" activePane="bottomLeft" state="frozen"/>
      <selection activeCell="H9" sqref="H9:I9"/>
      <selection pane="bottomLeft" activeCell="B40" sqref="B40:F40"/>
    </sheetView>
  </sheetViews>
  <sheetFormatPr defaultColWidth="9.140625" defaultRowHeight="15" x14ac:dyDescent="0.25"/>
  <cols>
    <col min="1" max="1" width="2.7109375" style="512" customWidth="1"/>
    <col min="2" max="2" width="37.85546875" style="512" customWidth="1"/>
    <col min="3" max="3" width="59.85546875" style="512" customWidth="1"/>
    <col min="4" max="4" width="5.5703125" style="512" customWidth="1"/>
    <col min="5" max="5" width="102.140625" style="512" customWidth="1"/>
    <col min="6" max="6" width="56.5703125" style="512" customWidth="1"/>
    <col min="7" max="8" width="7.28515625" style="512" hidden="1" customWidth="1"/>
    <col min="9" max="9" width="12.140625" style="512" hidden="1" customWidth="1"/>
    <col min="10" max="12" width="17" style="512" hidden="1" customWidth="1"/>
    <col min="13" max="13" width="30.85546875" style="512" hidden="1" customWidth="1"/>
    <col min="14" max="14" width="16.5703125" style="512" hidden="1" customWidth="1"/>
    <col min="15" max="15" width="34.5703125" style="512" hidden="1" customWidth="1"/>
    <col min="16" max="16" width="6.140625" style="512" hidden="1" customWidth="1"/>
    <col min="17" max="17" width="74.7109375" style="512" hidden="1" customWidth="1"/>
    <col min="18" max="18" width="30.28515625" style="512" hidden="1" customWidth="1"/>
    <col min="19" max="19" width="41.140625" style="512" hidden="1" customWidth="1"/>
    <col min="20" max="20" width="32" style="512" hidden="1" customWidth="1"/>
    <col min="21" max="30" width="31.140625" style="512" hidden="1" customWidth="1"/>
    <col min="31" max="31" width="11.42578125" style="512" hidden="1" customWidth="1"/>
    <col min="32" max="53" width="9.140625" style="512" hidden="1" customWidth="1"/>
    <col min="54" max="120" width="9.140625" style="512" customWidth="1"/>
    <col min="121" max="16384" width="9.140625" style="512"/>
  </cols>
  <sheetData>
    <row r="1" spans="2:32" s="1" customFormat="1" x14ac:dyDescent="0.25">
      <c r="B1" s="418"/>
      <c r="C1" s="418"/>
      <c r="E1" s="2"/>
      <c r="G1" s="512"/>
      <c r="H1" s="512"/>
      <c r="I1" s="512"/>
      <c r="O1" s="17"/>
      <c r="P1" s="17"/>
      <c r="Q1" s="17"/>
      <c r="R1" s="17"/>
      <c r="S1" s="17"/>
      <c r="T1" s="17"/>
      <c r="U1" s="17"/>
      <c r="V1" s="17"/>
      <c r="W1" s="17"/>
      <c r="X1" s="17"/>
      <c r="Y1" s="17"/>
      <c r="Z1" s="17"/>
      <c r="AA1" s="17"/>
      <c r="AB1" s="17"/>
      <c r="AC1" s="17"/>
      <c r="AD1" s="17"/>
    </row>
    <row r="2" spans="2:32" s="1" customFormat="1" ht="42" customHeight="1" x14ac:dyDescent="0.25">
      <c r="B2" s="513" t="s">
        <v>967</v>
      </c>
      <c r="C2" s="514"/>
      <c r="D2" s="514"/>
      <c r="E2" s="514"/>
      <c r="F2" s="636" t="str">
        <f>IF('Manuell filtrering og justering'!I2='Manuell filtrering og justering'!J2,"Bespoke","")</f>
        <v/>
      </c>
      <c r="G2" s="512"/>
      <c r="H2" s="512"/>
      <c r="I2" s="512"/>
      <c r="O2" s="17"/>
      <c r="P2" s="17"/>
      <c r="Q2" s="17"/>
      <c r="R2" s="17"/>
      <c r="S2" s="17"/>
      <c r="T2" s="17"/>
      <c r="U2" s="17"/>
      <c r="V2" s="17"/>
      <c r="W2" s="17"/>
      <c r="X2" s="17"/>
      <c r="Y2" s="17"/>
      <c r="Z2" s="17"/>
      <c r="AA2" s="17"/>
      <c r="AB2" s="17"/>
      <c r="AC2" s="17"/>
      <c r="AD2" s="17"/>
    </row>
    <row r="3" spans="2:32" s="1" customFormat="1" x14ac:dyDescent="0.25">
      <c r="B3" s="515"/>
      <c r="C3" s="515"/>
      <c r="E3" s="2"/>
      <c r="F3" s="516"/>
      <c r="G3" s="512"/>
      <c r="H3" s="512"/>
      <c r="I3" s="512"/>
      <c r="O3" s="17"/>
      <c r="P3" s="17"/>
      <c r="Q3" s="17"/>
      <c r="R3" s="93"/>
      <c r="S3" s="93"/>
      <c r="T3" s="93"/>
      <c r="U3" s="93"/>
      <c r="V3" s="93"/>
      <c r="W3" s="93"/>
      <c r="X3" s="93"/>
      <c r="Y3" s="93"/>
      <c r="Z3" s="93"/>
      <c r="AA3" s="93"/>
      <c r="AB3" s="93"/>
      <c r="AC3" s="93"/>
      <c r="AD3" s="93"/>
      <c r="AE3" s="93"/>
    </row>
    <row r="4" spans="2:32" s="1" customFormat="1" ht="18.75" x14ac:dyDescent="0.3">
      <c r="B4" s="517" t="s">
        <v>48</v>
      </c>
      <c r="C4" s="7"/>
      <c r="E4" s="517" t="s">
        <v>20</v>
      </c>
      <c r="F4" s="517"/>
      <c r="G4" s="512"/>
      <c r="H4" s="512"/>
      <c r="I4" s="512"/>
      <c r="L4" s="12"/>
      <c r="M4" s="12"/>
      <c r="N4" s="12"/>
      <c r="O4" s="17"/>
      <c r="P4" s="17"/>
      <c r="Q4" s="17"/>
      <c r="R4" s="17"/>
      <c r="S4" s="17"/>
      <c r="T4" s="17"/>
      <c r="U4" s="17"/>
      <c r="V4" s="17"/>
      <c r="W4" s="17"/>
      <c r="X4" s="17"/>
      <c r="Y4" s="17"/>
      <c r="Z4" s="17"/>
      <c r="AA4" s="17"/>
      <c r="AB4" s="17"/>
      <c r="AC4" s="17"/>
      <c r="AD4" s="17"/>
    </row>
    <row r="5" spans="2:32" s="1" customFormat="1" ht="15.75" x14ac:dyDescent="0.25">
      <c r="B5" s="518" t="s">
        <v>16</v>
      </c>
      <c r="C5" s="608"/>
      <c r="D5" s="512"/>
      <c r="E5" s="520" t="s">
        <v>53</v>
      </c>
      <c r="F5" s="519" t="s">
        <v>30</v>
      </c>
      <c r="G5" s="512"/>
      <c r="H5" s="512"/>
      <c r="I5" s="512"/>
      <c r="J5" s="512"/>
      <c r="K5" s="512"/>
      <c r="L5" s="91" t="str">
        <f>IF('Manuell filtrering og justering'!I2='Manuell filtrering og justering'!J2,'Manuell filtrering og justering'!H2,M6)</f>
        <v>Industrial</v>
      </c>
      <c r="M5" s="367" t="s">
        <v>30</v>
      </c>
      <c r="N5" s="12"/>
      <c r="O5" s="91" t="str">
        <f t="shared" ref="O5:O13" si="0">IF(HLOOKUP(ADBT0,$R$5:$AE$14,AF6,FALSE)=0,"",HLOOKUP(ADBT0,$R$5:$AE$14,AF6,FALSE))</f>
        <v>General office buildings</v>
      </c>
      <c r="P5" s="17"/>
      <c r="Q5" s="91" t="s">
        <v>43</v>
      </c>
      <c r="R5" s="89" t="s">
        <v>31</v>
      </c>
      <c r="S5" s="89" t="s">
        <v>30</v>
      </c>
      <c r="T5" s="89" t="s">
        <v>32</v>
      </c>
      <c r="U5" s="89" t="s">
        <v>33</v>
      </c>
      <c r="V5" s="89" t="s">
        <v>9</v>
      </c>
      <c r="W5" s="89" t="s">
        <v>484</v>
      </c>
      <c r="X5" s="89" t="s">
        <v>485</v>
      </c>
      <c r="Y5" s="89" t="s">
        <v>486</v>
      </c>
      <c r="Z5" s="89" t="s">
        <v>487</v>
      </c>
      <c r="AA5" s="89" t="s">
        <v>488</v>
      </c>
      <c r="AB5" s="89" t="s">
        <v>489</v>
      </c>
      <c r="AC5" s="89" t="s">
        <v>490</v>
      </c>
      <c r="AD5" s="1197" t="s">
        <v>1010</v>
      </c>
      <c r="AE5" s="89" t="s">
        <v>336</v>
      </c>
      <c r="AF5" s="1">
        <v>1</v>
      </c>
    </row>
    <row r="6" spans="2:32" s="1" customFormat="1" ht="15.75" x14ac:dyDescent="0.25">
      <c r="B6" s="521" t="s">
        <v>17</v>
      </c>
      <c r="C6" s="608"/>
      <c r="D6" s="512"/>
      <c r="E6" s="522" t="s">
        <v>23</v>
      </c>
      <c r="F6" s="523" t="s">
        <v>491</v>
      </c>
      <c r="G6" s="512"/>
      <c r="H6" s="512"/>
      <c r="I6" s="512"/>
      <c r="J6" s="512"/>
      <c r="K6" s="512"/>
      <c r="L6" s="91" t="str">
        <f>IF('Manuell filtrering og justering'!I2='Manuell filtrering og justering'!J2,"",M5)</f>
        <v>Office</v>
      </c>
      <c r="M6" s="367" t="s">
        <v>31</v>
      </c>
      <c r="N6" s="12"/>
      <c r="O6" s="91" t="str">
        <f t="shared" si="0"/>
        <v>Offices with research and development areas (i.e. category 1 labs only)</v>
      </c>
      <c r="P6" s="17"/>
      <c r="Q6" s="17"/>
      <c r="R6" s="17" t="s">
        <v>493</v>
      </c>
      <c r="S6" s="17" t="s">
        <v>491</v>
      </c>
      <c r="T6" s="17" t="s">
        <v>495</v>
      </c>
      <c r="U6" s="1" t="s">
        <v>499</v>
      </c>
      <c r="V6" s="1" t="s">
        <v>326</v>
      </c>
      <c r="W6" s="1" t="s">
        <v>503</v>
      </c>
      <c r="X6" s="1" t="s">
        <v>508</v>
      </c>
      <c r="Y6" s="1" t="s">
        <v>513</v>
      </c>
      <c r="Z6" s="1" t="s">
        <v>521</v>
      </c>
      <c r="AA6" s="1" t="s">
        <v>527</v>
      </c>
      <c r="AB6" s="1" t="s">
        <v>530</v>
      </c>
      <c r="AC6" s="1" t="s">
        <v>534</v>
      </c>
      <c r="AD6" s="1" t="s">
        <v>1011</v>
      </c>
      <c r="AE6" s="17" t="s">
        <v>336</v>
      </c>
      <c r="AF6" s="1">
        <v>2</v>
      </c>
    </row>
    <row r="7" spans="2:32" s="1" customFormat="1" ht="15.75" x14ac:dyDescent="0.25">
      <c r="B7" s="521" t="s">
        <v>18</v>
      </c>
      <c r="C7" s="608"/>
      <c r="D7" s="512"/>
      <c r="E7" s="525" t="s">
        <v>24</v>
      </c>
      <c r="F7" s="523" t="s">
        <v>36</v>
      </c>
      <c r="G7" s="512"/>
      <c r="H7" s="512"/>
      <c r="I7" s="512"/>
      <c r="J7" s="512"/>
      <c r="K7" s="512"/>
      <c r="L7" s="91" t="str">
        <f>IF('Manuell filtrering og justering'!I2='Manuell filtrering og justering'!J2,"",M7)</f>
        <v>Retail</v>
      </c>
      <c r="M7" s="367" t="s">
        <v>32</v>
      </c>
      <c r="N7" s="12"/>
      <c r="O7" s="91" t="str">
        <f t="shared" si="0"/>
        <v/>
      </c>
      <c r="P7" s="17"/>
      <c r="Q7" s="17"/>
      <c r="R7" s="17" t="s">
        <v>494</v>
      </c>
      <c r="S7" s="1" t="s">
        <v>492</v>
      </c>
      <c r="T7" s="17" t="s">
        <v>496</v>
      </c>
      <c r="U7" s="1" t="s">
        <v>500</v>
      </c>
      <c r="V7" s="1" t="s">
        <v>327</v>
      </c>
      <c r="W7" s="1" t="s">
        <v>504</v>
      </c>
      <c r="X7" s="1" t="s">
        <v>509</v>
      </c>
      <c r="Y7" s="1" t="s">
        <v>514</v>
      </c>
      <c r="Z7" s="1" t="s">
        <v>522</v>
      </c>
      <c r="AA7" s="1" t="s">
        <v>528</v>
      </c>
      <c r="AB7" s="1" t="s">
        <v>531</v>
      </c>
      <c r="AC7" s="1" t="s">
        <v>535</v>
      </c>
      <c r="AD7" s="1" t="s">
        <v>1012</v>
      </c>
      <c r="AF7" s="1">
        <v>3</v>
      </c>
    </row>
    <row r="8" spans="2:32" s="1" customFormat="1" ht="15.75" x14ac:dyDescent="0.25">
      <c r="B8" s="521" t="s">
        <v>19</v>
      </c>
      <c r="C8" s="608"/>
      <c r="D8" s="512"/>
      <c r="G8" s="512"/>
      <c r="H8" s="512"/>
      <c r="I8" s="512"/>
      <c r="J8" s="512"/>
      <c r="K8" s="512"/>
      <c r="L8" s="91" t="str">
        <f>IF('Manuell filtrering og justering'!I2='Manuell filtrering og justering'!J2,"",M8)</f>
        <v>Education</v>
      </c>
      <c r="M8" s="367" t="s">
        <v>33</v>
      </c>
      <c r="N8" s="12"/>
      <c r="O8" s="91" t="str">
        <f t="shared" si="0"/>
        <v/>
      </c>
      <c r="P8" s="17"/>
      <c r="Q8" s="24" t="s">
        <v>540</v>
      </c>
      <c r="T8" s="17" t="s">
        <v>497</v>
      </c>
      <c r="U8" s="1" t="s">
        <v>501</v>
      </c>
      <c r="V8" s="1" t="s">
        <v>325</v>
      </c>
      <c r="W8" s="1" t="s">
        <v>505</v>
      </c>
      <c r="X8" s="1" t="s">
        <v>510</v>
      </c>
      <c r="Y8" s="1" t="s">
        <v>515</v>
      </c>
      <c r="Z8" s="1" t="s">
        <v>523</v>
      </c>
      <c r="AA8" s="1" t="s">
        <v>529</v>
      </c>
      <c r="AB8" s="1" t="s">
        <v>532</v>
      </c>
      <c r="AC8" s="1" t="s">
        <v>536</v>
      </c>
      <c r="AD8" s="1" t="s">
        <v>1013</v>
      </c>
      <c r="AE8" s="17"/>
      <c r="AF8" s="1">
        <v>4</v>
      </c>
    </row>
    <row r="9" spans="2:32" s="1" customFormat="1" ht="15.75" x14ac:dyDescent="0.25">
      <c r="B9" s="521" t="s">
        <v>42</v>
      </c>
      <c r="C9" s="608"/>
      <c r="D9" s="512"/>
      <c r="G9" s="512"/>
      <c r="H9" s="512"/>
      <c r="I9" s="512"/>
      <c r="J9" s="512"/>
      <c r="K9" s="512"/>
      <c r="L9" s="91" t="str">
        <f>IF('Manuell filtrering og justering'!I2='Manuell filtrering og justering'!J2,"",M16)</f>
        <v>Residential</v>
      </c>
      <c r="M9" s="367" t="s">
        <v>484</v>
      </c>
      <c r="N9" s="12"/>
      <c r="O9" s="91" t="str">
        <f t="shared" si="0"/>
        <v/>
      </c>
      <c r="P9" s="17"/>
      <c r="Q9" s="17"/>
      <c r="T9" s="1" t="s">
        <v>324</v>
      </c>
      <c r="U9" s="1" t="s">
        <v>538</v>
      </c>
      <c r="W9" s="1" t="s">
        <v>506</v>
      </c>
      <c r="X9" s="1" t="s">
        <v>511</v>
      </c>
      <c r="Y9" s="1" t="s">
        <v>516</v>
      </c>
      <c r="Z9" s="1" t="s">
        <v>524</v>
      </c>
      <c r="AB9" s="1" t="s">
        <v>533</v>
      </c>
      <c r="AC9" s="1" t="s">
        <v>537</v>
      </c>
      <c r="AD9" s="1" t="s">
        <v>1014</v>
      </c>
      <c r="AF9" s="1">
        <v>5</v>
      </c>
    </row>
    <row r="10" spans="2:32" s="1" customFormat="1" ht="15.75" x14ac:dyDescent="0.25">
      <c r="B10" s="525" t="s">
        <v>198</v>
      </c>
      <c r="C10" s="608"/>
      <c r="D10" s="512"/>
      <c r="G10" s="512"/>
      <c r="H10" s="512"/>
      <c r="I10" s="512"/>
      <c r="J10" s="512"/>
      <c r="K10" s="512"/>
      <c r="L10" s="91" t="str">
        <f>IF('Manuell filtrering og justering'!$I$2='Manuell filtrering og justering'!$J$2,"",M9)</f>
        <v>Healthcare</v>
      </c>
      <c r="M10" s="367" t="s">
        <v>485</v>
      </c>
      <c r="N10" s="12"/>
      <c r="O10" s="91" t="str">
        <f t="shared" si="0"/>
        <v/>
      </c>
      <c r="P10" s="17"/>
      <c r="Q10" s="17"/>
      <c r="T10" s="1" t="s">
        <v>498</v>
      </c>
      <c r="U10" s="1" t="s">
        <v>502</v>
      </c>
      <c r="W10" s="1" t="s">
        <v>507</v>
      </c>
      <c r="X10" s="1" t="s">
        <v>512</v>
      </c>
      <c r="Y10" s="1" t="s">
        <v>517</v>
      </c>
      <c r="Z10" s="1" t="s">
        <v>525</v>
      </c>
      <c r="AD10" s="1" t="s">
        <v>1015</v>
      </c>
      <c r="AF10" s="1">
        <v>6</v>
      </c>
    </row>
    <row r="11" spans="2:32" s="1" customFormat="1" ht="15.75" x14ac:dyDescent="0.25">
      <c r="C11" s="97"/>
      <c r="F11" s="261"/>
      <c r="G11" s="512"/>
      <c r="H11" s="512"/>
      <c r="I11" s="512"/>
      <c r="J11" s="512"/>
      <c r="K11" s="512"/>
      <c r="L11" s="91" t="str">
        <f>IF('Manuell filtrering og justering'!$I$2='Manuell filtrering og justering'!$J$2,"",M10)</f>
        <v>Prison</v>
      </c>
      <c r="M11" s="367" t="s">
        <v>486</v>
      </c>
      <c r="N11" s="12"/>
      <c r="O11" s="91" t="str">
        <f t="shared" si="0"/>
        <v/>
      </c>
      <c r="P11" s="17"/>
      <c r="Q11" s="91" t="s">
        <v>36</v>
      </c>
      <c r="T11" s="17" t="s">
        <v>328</v>
      </c>
      <c r="Y11" s="1" t="s">
        <v>518</v>
      </c>
      <c r="Z11" s="1" t="s">
        <v>526</v>
      </c>
      <c r="AF11" s="1">
        <v>7</v>
      </c>
    </row>
    <row r="12" spans="2:32" s="1" customFormat="1" ht="15" customHeight="1" x14ac:dyDescent="0.3">
      <c r="B12" s="517" t="s">
        <v>20</v>
      </c>
      <c r="C12" s="609"/>
      <c r="E12" s="527" t="s">
        <v>305</v>
      </c>
      <c r="F12" s="610"/>
      <c r="G12" s="512"/>
      <c r="H12" s="512"/>
      <c r="I12" s="512"/>
      <c r="J12" s="512"/>
      <c r="K12" s="512"/>
      <c r="L12" s="91" t="str">
        <f>IF('Manuell filtrering og justering'!$I$2='Manuell filtrering og justering'!$J$2,"",M11)</f>
        <v>Law Court</v>
      </c>
      <c r="M12" s="367" t="s">
        <v>487</v>
      </c>
      <c r="N12" s="12"/>
      <c r="O12" s="91" t="str">
        <f t="shared" si="0"/>
        <v/>
      </c>
      <c r="P12" s="17"/>
      <c r="Q12" s="91" t="str">
        <f>IF(ADBT0=ADBT12,"","New Construction (shell and core)")</f>
        <v>New Construction (shell and core)</v>
      </c>
      <c r="T12" s="17"/>
      <c r="U12" s="17"/>
      <c r="V12" s="17"/>
      <c r="W12" s="17"/>
      <c r="X12" s="17"/>
      <c r="Y12" s="17" t="s">
        <v>519</v>
      </c>
      <c r="Z12" s="17"/>
      <c r="AA12" s="17"/>
      <c r="AB12" s="17"/>
      <c r="AC12" s="17"/>
      <c r="AD12" s="17"/>
      <c r="AF12" s="1">
        <v>8</v>
      </c>
    </row>
    <row r="13" spans="2:32" s="1" customFormat="1" ht="17.25" x14ac:dyDescent="0.25">
      <c r="B13" s="518" t="s">
        <v>21</v>
      </c>
      <c r="C13" s="610"/>
      <c r="E13" s="521" t="s">
        <v>304</v>
      </c>
      <c r="F13" s="610"/>
      <c r="G13" s="512"/>
      <c r="H13" s="512"/>
      <c r="I13" s="1199" t="s">
        <v>1017</v>
      </c>
      <c r="J13" s="512"/>
      <c r="K13" s="512"/>
      <c r="L13" s="91" t="str">
        <f>IF('Manuell filtrering og justering'!$I$2='Manuell filtrering og justering'!$J$2,"",M12)</f>
        <v>Residential institution (long term stay)</v>
      </c>
      <c r="M13" s="367" t="s">
        <v>488</v>
      </c>
      <c r="N13" s="12"/>
      <c r="O13" s="91" t="str">
        <f t="shared" si="0"/>
        <v/>
      </c>
      <c r="P13" s="17"/>
      <c r="Q13" s="91" t="str">
        <f>IF(ADBT0=ADBT12,"","New Construction (shell only)")</f>
        <v>New Construction (shell only)</v>
      </c>
      <c r="T13" s="17"/>
      <c r="U13" s="17"/>
      <c r="V13" s="17"/>
      <c r="W13" s="17"/>
      <c r="X13" s="17"/>
      <c r="Y13" s="17" t="s">
        <v>520</v>
      </c>
      <c r="Z13" s="17"/>
      <c r="AA13" s="17"/>
      <c r="AB13" s="17"/>
      <c r="AC13" s="17"/>
      <c r="AD13" s="17"/>
      <c r="AF13" s="1">
        <v>9</v>
      </c>
    </row>
    <row r="14" spans="2:32" s="1" customFormat="1" ht="17.25" x14ac:dyDescent="0.25">
      <c r="B14" s="528" t="s">
        <v>22</v>
      </c>
      <c r="C14" s="611"/>
      <c r="E14" s="525" t="s">
        <v>306</v>
      </c>
      <c r="F14" s="610"/>
      <c r="G14" s="512"/>
      <c r="H14" s="512"/>
      <c r="I14" s="1199"/>
      <c r="J14" s="512"/>
      <c r="K14" s="512"/>
      <c r="L14" s="91" t="str">
        <f>IF('Manuell filtrering og justering'!$I$2='Manuell filtrering og justering'!$J$2,"",M13)</f>
        <v>Residential institution (short term stay)</v>
      </c>
      <c r="M14" s="367" t="s">
        <v>489</v>
      </c>
      <c r="N14" s="12"/>
      <c r="O14" s="512"/>
      <c r="P14" s="17"/>
      <c r="Q14" s="91" t="s">
        <v>37</v>
      </c>
      <c r="T14" s="17"/>
      <c r="U14" s="17"/>
      <c r="V14" s="17"/>
      <c r="W14" s="17"/>
      <c r="X14" s="17"/>
      <c r="Y14" s="17"/>
      <c r="Z14" s="17"/>
      <c r="AA14" s="17"/>
      <c r="AB14" s="17"/>
      <c r="AC14" s="17"/>
      <c r="AD14" s="17"/>
      <c r="AF14" s="1">
        <v>10</v>
      </c>
    </row>
    <row r="15" spans="2:32" s="1" customFormat="1" ht="16.5" customHeight="1" x14ac:dyDescent="0.25">
      <c r="B15" s="529"/>
      <c r="C15" s="612"/>
      <c r="E15" s="1026"/>
      <c r="F15" s="531"/>
      <c r="G15" s="512"/>
      <c r="H15" s="512"/>
      <c r="I15" s="1199"/>
      <c r="J15" s="2"/>
      <c r="K15" s="512"/>
      <c r="L15" s="91" t="str">
        <f>IF('Manuell filtrering og justering'!$I$2='Manuell filtrering og justering'!$J$2,"",M14)</f>
        <v>Non-residential institution</v>
      </c>
      <c r="M15" s="367" t="s">
        <v>490</v>
      </c>
      <c r="N15" s="12"/>
      <c r="O15" s="512"/>
      <c r="P15" s="17"/>
      <c r="Q15" s="91" t="s">
        <v>35</v>
      </c>
      <c r="U15" s="17"/>
      <c r="V15" s="17"/>
      <c r="W15" s="17"/>
      <c r="X15" s="17"/>
      <c r="Y15" s="17"/>
      <c r="Z15" s="17"/>
      <c r="AA15" s="17"/>
      <c r="AB15" s="17"/>
      <c r="AC15" s="17"/>
      <c r="AD15" s="17"/>
      <c r="AF15" s="1">
        <v>11</v>
      </c>
    </row>
    <row r="16" spans="2:32" s="1" customFormat="1" ht="15.75" x14ac:dyDescent="0.25">
      <c r="B16" s="532"/>
      <c r="C16" s="613"/>
      <c r="E16" s="520" t="s">
        <v>1018</v>
      </c>
      <c r="F16" s="524" t="s">
        <v>12</v>
      </c>
      <c r="H16" s="512"/>
      <c r="I16" s="1199">
        <f>IF(Pol05_credits=0,0,1)</f>
        <v>1</v>
      </c>
      <c r="J16" s="1198" t="s">
        <v>268</v>
      </c>
      <c r="K16" s="512"/>
      <c r="L16" s="91" t="str">
        <f>IF('Manuell filtrering og justering'!$I$2='Manuell filtrering og justering'!$J$2,"",M15)</f>
        <v>Assembly and leisure</v>
      </c>
      <c r="M16" s="367" t="s">
        <v>9</v>
      </c>
      <c r="N16" s="12"/>
      <c r="O16" s="512"/>
      <c r="P16" s="17"/>
      <c r="Q16" s="17"/>
      <c r="U16" s="17"/>
      <c r="V16" s="17"/>
      <c r="W16" s="17"/>
      <c r="X16" s="17"/>
      <c r="Y16" s="17"/>
      <c r="Z16" s="17"/>
      <c r="AA16" s="17"/>
      <c r="AB16" s="17"/>
      <c r="AC16" s="17"/>
      <c r="AD16" s="17"/>
      <c r="AF16" s="1">
        <v>12</v>
      </c>
    </row>
    <row r="17" spans="2:34" s="1" customFormat="1" ht="15.75" x14ac:dyDescent="0.25">
      <c r="B17" s="533" t="str">
        <f>IF('Manuell filtrering og justering'!I2='Manuell filtrering og justering'!J2,"Building type (main description)","")</f>
        <v/>
      </c>
      <c r="C17" s="614"/>
      <c r="E17" s="522" t="s">
        <v>1045</v>
      </c>
      <c r="F17" s="524" t="s">
        <v>12</v>
      </c>
      <c r="H17" s="93"/>
      <c r="I17" s="1199"/>
      <c r="J17" s="1198" t="s">
        <v>269</v>
      </c>
      <c r="K17" s="512"/>
      <c r="L17" s="91" t="str">
        <f>IF('Manuell filtrering og justering'!$I$2='Manuell filtrering og justering'!$J$2,"",M17)</f>
        <v>Other</v>
      </c>
      <c r="M17" s="1" t="s">
        <v>1010</v>
      </c>
      <c r="N17" s="12"/>
      <c r="O17" s="512"/>
      <c r="P17" s="17"/>
      <c r="Q17" s="17"/>
      <c r="U17" s="17"/>
      <c r="V17" s="17"/>
      <c r="W17" s="17"/>
      <c r="X17" s="17"/>
      <c r="Y17" s="17"/>
      <c r="Z17" s="17"/>
      <c r="AA17" s="17"/>
      <c r="AB17" s="17"/>
      <c r="AC17" s="17"/>
      <c r="AD17" s="17"/>
      <c r="AF17" s="1">
        <v>13</v>
      </c>
      <c r="AH17" s="93" t="s">
        <v>566</v>
      </c>
    </row>
    <row r="18" spans="2:34" s="1" customFormat="1" ht="15.75" x14ac:dyDescent="0.25">
      <c r="B18" s="521" t="s">
        <v>199</v>
      </c>
      <c r="C18" s="615"/>
      <c r="E18" s="522" t="s">
        <v>1016</v>
      </c>
      <c r="F18" s="523"/>
      <c r="G18" s="1241" t="s">
        <v>336</v>
      </c>
      <c r="I18" s="70">
        <f>IF(Ene03_credits+Pol04_credits=0,0,1)</f>
        <v>1</v>
      </c>
      <c r="J18" s="1198" t="s">
        <v>221</v>
      </c>
      <c r="K18" s="512"/>
      <c r="L18" s="39"/>
      <c r="N18" s="12"/>
      <c r="O18" s="512"/>
      <c r="P18" s="17"/>
      <c r="Q18" s="91" t="s">
        <v>84</v>
      </c>
      <c r="U18" s="17"/>
      <c r="V18" s="17"/>
      <c r="W18" s="17"/>
      <c r="X18" s="17"/>
      <c r="Y18" s="17"/>
      <c r="Z18" s="17"/>
      <c r="AA18" s="17"/>
      <c r="AB18" s="17"/>
      <c r="AC18" s="17"/>
      <c r="AD18" s="17"/>
      <c r="AH18" s="93" t="s">
        <v>567</v>
      </c>
    </row>
    <row r="19" spans="2:34" s="1" customFormat="1" ht="15.75" x14ac:dyDescent="0.25">
      <c r="B19" s="521" t="s">
        <v>200</v>
      </c>
      <c r="C19" s="616"/>
      <c r="E19" s="522" t="s">
        <v>925</v>
      </c>
      <c r="F19" s="530"/>
      <c r="G19" s="93"/>
      <c r="H19" s="17"/>
      <c r="I19" s="342">
        <f>IF(ADBT0='Manuell filtrering og justering'!H2,0,IF(Poeng!Y84+Poeng!Y85=2,0,1))</f>
        <v>1</v>
      </c>
      <c r="J19" s="1198" t="s">
        <v>271</v>
      </c>
      <c r="K19" s="512"/>
      <c r="L19" s="39"/>
      <c r="M19" s="12"/>
      <c r="N19" s="12"/>
      <c r="O19" s="512"/>
      <c r="P19" s="17"/>
      <c r="Q19" s="91" t="s">
        <v>34</v>
      </c>
      <c r="U19" s="17"/>
      <c r="V19" s="17"/>
      <c r="W19" s="17"/>
      <c r="X19" s="17"/>
      <c r="Y19" s="17"/>
      <c r="Z19" s="17"/>
      <c r="AA19" s="17"/>
      <c r="AB19" s="17"/>
      <c r="AC19" s="17"/>
      <c r="AD19" s="17"/>
    </row>
    <row r="20" spans="2:34" s="1" customFormat="1" ht="15.75" x14ac:dyDescent="0.25">
      <c r="B20" s="525" t="s">
        <v>201</v>
      </c>
      <c r="C20" s="616"/>
      <c r="E20" s="522" t="s">
        <v>926</v>
      </c>
      <c r="F20" s="523"/>
      <c r="G20" s="17"/>
      <c r="H20" s="17"/>
      <c r="I20" s="342">
        <v>1</v>
      </c>
      <c r="J20" s="1198" t="s">
        <v>221</v>
      </c>
      <c r="K20" s="512"/>
      <c r="L20" s="39"/>
      <c r="M20" s="12"/>
      <c r="N20" s="12"/>
      <c r="O20" s="512"/>
      <c r="P20" s="17"/>
      <c r="Q20" s="17"/>
      <c r="U20" s="17"/>
      <c r="V20" s="17"/>
      <c r="W20" s="17"/>
      <c r="X20" s="17"/>
      <c r="Y20" s="17"/>
      <c r="Z20" s="17"/>
      <c r="AA20" s="17"/>
      <c r="AB20" s="17"/>
      <c r="AC20" s="17"/>
      <c r="AD20" s="17"/>
    </row>
    <row r="21" spans="2:34" s="1" customFormat="1" ht="15.75" x14ac:dyDescent="0.25">
      <c r="C21" s="617"/>
      <c r="E21" s="522" t="s">
        <v>1029</v>
      </c>
      <c r="F21" s="523"/>
      <c r="G21" s="1241" t="s">
        <v>954</v>
      </c>
      <c r="H21" s="512">
        <f>IF(ADBT0=AE5,1,IF(OR(ADBT0=ADBT13,ADBT0=AD5,ADBT0=ADBT2,AND(ADBT0=ADBT8,OR(F6=U9,F6=U10))),1,0))</f>
        <v>1</v>
      </c>
      <c r="I21" s="1199">
        <f>IF(Poeng!Y91+Poeng!Y92=Poeng!T91+Poeng!T92,0,1)</f>
        <v>1</v>
      </c>
      <c r="J21" s="1198" t="s">
        <v>221</v>
      </c>
      <c r="K21" s="512">
        <f>Poeng!AB91</f>
        <v>1</v>
      </c>
      <c r="L21" s="39"/>
      <c r="M21" s="12"/>
      <c r="N21" s="12"/>
      <c r="P21" s="17"/>
      <c r="Q21" s="17"/>
      <c r="U21" s="17"/>
      <c r="V21" s="17"/>
      <c r="W21" s="17"/>
      <c r="X21" s="17"/>
      <c r="Y21" s="17"/>
      <c r="Z21" s="17"/>
      <c r="AA21" s="17"/>
      <c r="AB21" s="17"/>
      <c r="AC21" s="17"/>
      <c r="AD21" s="17"/>
    </row>
    <row r="22" spans="2:34" s="1" customFormat="1" ht="15" customHeight="1" x14ac:dyDescent="0.3">
      <c r="B22" s="517" t="s">
        <v>26</v>
      </c>
      <c r="C22" s="618"/>
      <c r="E22" s="536" t="s">
        <v>1008</v>
      </c>
      <c r="F22" s="523"/>
      <c r="I22" s="70">
        <f>IF(Poeng!Y94=Poeng!T94,0,1)</f>
        <v>1</v>
      </c>
      <c r="J22" s="1198" t="s">
        <v>221</v>
      </c>
      <c r="K22" s="512">
        <f>Poeng!AB92</f>
        <v>4</v>
      </c>
      <c r="L22" s="39"/>
      <c r="M22" s="12"/>
      <c r="N22" s="12" t="s">
        <v>280</v>
      </c>
      <c r="O22" s="17"/>
      <c r="P22" s="17"/>
      <c r="Q22" s="91" t="s">
        <v>12</v>
      </c>
      <c r="U22" s="17"/>
      <c r="V22" s="17"/>
      <c r="W22" s="17"/>
      <c r="X22" s="17"/>
      <c r="Y22" s="17"/>
      <c r="Z22" s="17"/>
      <c r="AA22" s="17"/>
      <c r="AB22" s="17"/>
      <c r="AC22" s="17"/>
      <c r="AD22" s="17"/>
    </row>
    <row r="23" spans="2:34" s="1" customFormat="1" ht="15" customHeight="1" x14ac:dyDescent="0.25">
      <c r="B23" s="534" t="s">
        <v>27</v>
      </c>
      <c r="C23" s="608"/>
      <c r="E23" s="1125" t="s">
        <v>999</v>
      </c>
      <c r="F23" s="523"/>
      <c r="G23" s="93"/>
      <c r="H23" s="512"/>
      <c r="I23" s="1199">
        <f>IF(ADBT0='Manuell filtrering og justering'!H2,0,1)</f>
        <v>1</v>
      </c>
      <c r="J23" s="1198" t="s">
        <v>221</v>
      </c>
      <c r="M23" s="12"/>
      <c r="N23" s="12"/>
      <c r="O23" s="17"/>
      <c r="P23" s="17"/>
      <c r="Q23" s="91" t="s">
        <v>13</v>
      </c>
      <c r="T23" s="17"/>
      <c r="U23" s="17"/>
      <c r="V23" s="17"/>
      <c r="W23" s="17"/>
      <c r="X23" s="17"/>
      <c r="Y23" s="17"/>
      <c r="Z23" s="17"/>
      <c r="AA23" s="17"/>
      <c r="AB23" s="17"/>
      <c r="AC23" s="17"/>
      <c r="AD23" s="17"/>
    </row>
    <row r="24" spans="2:34" s="1" customFormat="1" ht="15" customHeight="1" x14ac:dyDescent="0.25">
      <c r="B24" s="535" t="s">
        <v>28</v>
      </c>
      <c r="C24" s="608"/>
      <c r="E24" s="536" t="s">
        <v>921</v>
      </c>
      <c r="F24" s="523"/>
      <c r="G24" s="1241" t="s">
        <v>336</v>
      </c>
      <c r="H24" s="93"/>
      <c r="I24" s="1199">
        <f>IF(Pol01_credits=0,0,1)</f>
        <v>1</v>
      </c>
      <c r="J24" s="1198" t="s">
        <v>221</v>
      </c>
      <c r="K24" s="512"/>
      <c r="L24" s="39"/>
      <c r="M24" s="12"/>
      <c r="N24" s="12"/>
      <c r="O24" s="537" t="s">
        <v>274</v>
      </c>
      <c r="P24" s="17"/>
      <c r="Q24" s="91" t="s">
        <v>47</v>
      </c>
      <c r="T24" s="17"/>
      <c r="U24" s="17"/>
      <c r="V24" s="17"/>
      <c r="W24" s="17"/>
      <c r="X24" s="17"/>
      <c r="Y24" s="17"/>
      <c r="Z24" s="17"/>
      <c r="AA24" s="17"/>
      <c r="AB24" s="17"/>
      <c r="AC24" s="17"/>
      <c r="AD24" s="17"/>
    </row>
    <row r="25" spans="2:34" s="1" customFormat="1" ht="15" customHeight="1" x14ac:dyDescent="0.25">
      <c r="B25" s="535" t="s">
        <v>266</v>
      </c>
      <c r="C25" s="608"/>
      <c r="E25" s="536" t="s">
        <v>1030</v>
      </c>
      <c r="F25" s="523"/>
      <c r="G25" s="1241" t="s">
        <v>336</v>
      </c>
      <c r="H25" s="93"/>
      <c r="I25" s="1199">
        <f>IF(Poeng!Y205+Poeng!Y206=Poeng!T205+Poeng!T206,0,1)</f>
        <v>1</v>
      </c>
      <c r="J25" s="1198" t="s">
        <v>221</v>
      </c>
      <c r="K25" s="512"/>
      <c r="L25" s="39"/>
      <c r="M25" s="12"/>
      <c r="N25" s="12"/>
      <c r="O25" s="537" t="s">
        <v>272</v>
      </c>
      <c r="P25" s="17"/>
      <c r="Q25" s="17"/>
      <c r="T25" s="17"/>
      <c r="U25" s="17"/>
      <c r="V25" s="17"/>
      <c r="W25" s="17"/>
      <c r="X25" s="17"/>
      <c r="Y25" s="17"/>
      <c r="Z25" s="17"/>
      <c r="AA25" s="17"/>
      <c r="AB25" s="17"/>
      <c r="AC25" s="17"/>
      <c r="AD25" s="17"/>
    </row>
    <row r="26" spans="2:34" s="1" customFormat="1" ht="15.75" x14ac:dyDescent="0.25">
      <c r="B26" s="535" t="s">
        <v>29</v>
      </c>
      <c r="C26" s="608"/>
      <c r="E26" s="521" t="s">
        <v>997</v>
      </c>
      <c r="F26" s="523"/>
      <c r="G26" s="93"/>
      <c r="H26" s="512"/>
      <c r="I26" s="1199">
        <f>IF(ADBT0='Manuell filtrering og justering'!H2,0,IF(Mat06_credits=0,0,1))</f>
        <v>1</v>
      </c>
      <c r="J26" s="1198" t="s">
        <v>279</v>
      </c>
      <c r="K26" s="512"/>
      <c r="L26" s="39"/>
      <c r="M26" s="12"/>
      <c r="N26" s="12"/>
      <c r="O26" s="537" t="s">
        <v>275</v>
      </c>
      <c r="P26" s="17"/>
      <c r="Q26" s="91" t="s">
        <v>292</v>
      </c>
      <c r="T26" s="17"/>
      <c r="U26" s="17"/>
      <c r="V26" s="17"/>
      <c r="W26" s="17"/>
      <c r="X26" s="17"/>
      <c r="Y26" s="17"/>
      <c r="Z26" s="17"/>
      <c r="AA26" s="17"/>
      <c r="AB26" s="17"/>
      <c r="AC26" s="17"/>
      <c r="AD26" s="17"/>
    </row>
    <row r="27" spans="2:34" s="1" customFormat="1" ht="15.75" x14ac:dyDescent="0.25">
      <c r="B27" s="535" t="s">
        <v>321</v>
      </c>
      <c r="C27" s="608"/>
      <c r="E27" s="1202" t="s">
        <v>924</v>
      </c>
      <c r="F27" s="523"/>
      <c r="G27" s="1241" t="s">
        <v>336</v>
      </c>
      <c r="H27" s="512"/>
      <c r="I27" s="1200">
        <f>IF(Pol05_credits=0,0,1)</f>
        <v>1</v>
      </c>
      <c r="J27" s="1198" t="s">
        <v>221</v>
      </c>
      <c r="K27" s="512"/>
      <c r="L27" s="39"/>
      <c r="M27" s="12"/>
      <c r="N27" s="12"/>
      <c r="O27" s="537" t="s">
        <v>276</v>
      </c>
      <c r="P27" s="17"/>
      <c r="Q27" s="91" t="s">
        <v>293</v>
      </c>
      <c r="S27" s="17"/>
      <c r="T27" s="17"/>
      <c r="U27" s="17"/>
      <c r="V27" s="17"/>
      <c r="W27" s="17"/>
      <c r="X27" s="17"/>
      <c r="Y27" s="17"/>
      <c r="Z27" s="17"/>
      <c r="AA27" s="17"/>
      <c r="AB27" s="17"/>
      <c r="AC27" s="17"/>
      <c r="AD27" s="17"/>
    </row>
    <row r="28" spans="2:34" s="1" customFormat="1" ht="15.75" x14ac:dyDescent="0.25">
      <c r="B28" s="535" t="s">
        <v>320</v>
      </c>
      <c r="C28" s="608"/>
      <c r="E28" s="1201" t="s">
        <v>1044</v>
      </c>
      <c r="F28" s="523" t="s">
        <v>12</v>
      </c>
      <c r="G28" s="512"/>
      <c r="H28" s="512"/>
      <c r="I28" s="1199">
        <f>IF(Inn05_credits=0,0,IF(OR(F6=U6,F6=U7,F6=V8,F5=Y5,F5=X5,F5=Z5),1,0))</f>
        <v>0</v>
      </c>
      <c r="J28" s="1198" t="s">
        <v>221</v>
      </c>
      <c r="K28" s="512"/>
      <c r="L28" s="41"/>
      <c r="M28" s="12"/>
      <c r="N28" s="12"/>
      <c r="O28" s="537" t="s">
        <v>277</v>
      </c>
      <c r="P28" s="17"/>
      <c r="Q28" s="91" t="s">
        <v>294</v>
      </c>
      <c r="T28" s="17"/>
      <c r="U28" s="17"/>
      <c r="V28" s="17"/>
      <c r="W28" s="17"/>
      <c r="X28" s="17"/>
      <c r="Y28" s="17"/>
      <c r="Z28" s="17"/>
      <c r="AA28" s="17"/>
      <c r="AB28" s="17"/>
      <c r="AC28" s="17"/>
      <c r="AD28" s="17"/>
    </row>
    <row r="29" spans="2:34" s="1" customFormat="1" ht="15.75" x14ac:dyDescent="0.25">
      <c r="B29" s="535" t="s">
        <v>319</v>
      </c>
      <c r="C29" s="608"/>
      <c r="E29" s="1015"/>
      <c r="F29" s="531"/>
      <c r="G29" s="512"/>
      <c r="H29" s="512"/>
      <c r="I29" s="1199"/>
      <c r="M29" s="12"/>
      <c r="N29" s="12"/>
      <c r="O29" s="537" t="s">
        <v>273</v>
      </c>
      <c r="P29" s="17"/>
      <c r="Q29" s="91" t="s">
        <v>38</v>
      </c>
      <c r="T29" s="17"/>
      <c r="U29" s="17"/>
      <c r="V29" s="17"/>
      <c r="W29" s="17"/>
      <c r="X29" s="17"/>
      <c r="Y29" s="17"/>
      <c r="Z29" s="17"/>
      <c r="AA29" s="17"/>
      <c r="AB29" s="17"/>
      <c r="AC29" s="17"/>
      <c r="AD29" s="17"/>
    </row>
    <row r="30" spans="2:34" s="1" customFormat="1" ht="15.75" x14ac:dyDescent="0.25">
      <c r="B30" s="535" t="s">
        <v>317</v>
      </c>
      <c r="C30" s="608"/>
      <c r="E30" s="538" t="s">
        <v>288</v>
      </c>
      <c r="F30" s="539">
        <f>Poeng_tot</f>
        <v>153</v>
      </c>
      <c r="G30" s="512"/>
      <c r="H30" s="512"/>
      <c r="I30" s="512"/>
      <c r="J30" s="537" t="s">
        <v>922</v>
      </c>
      <c r="K30" s="2"/>
      <c r="L30" s="41"/>
      <c r="M30" s="12"/>
      <c r="N30" s="12"/>
      <c r="O30" s="537" t="s">
        <v>278</v>
      </c>
      <c r="P30" s="17"/>
      <c r="Q30" s="512"/>
      <c r="T30" s="17"/>
      <c r="U30" s="17"/>
      <c r="V30" s="17"/>
      <c r="W30" s="17"/>
      <c r="X30" s="17"/>
      <c r="Y30" s="17"/>
      <c r="Z30" s="17"/>
      <c r="AA30" s="17"/>
      <c r="AB30" s="17"/>
      <c r="AC30" s="17"/>
      <c r="AD30" s="17"/>
    </row>
    <row r="31" spans="2:34" s="1" customFormat="1" ht="15.75" x14ac:dyDescent="0.25">
      <c r="B31" s="535" t="s">
        <v>318</v>
      </c>
      <c r="C31" s="608"/>
      <c r="E31" s="522" t="s">
        <v>289</v>
      </c>
      <c r="F31" s="539">
        <f>Poeng_bort</f>
        <v>0</v>
      </c>
      <c r="G31" s="512"/>
      <c r="H31" s="512"/>
      <c r="I31" s="512"/>
      <c r="J31" s="537" t="s">
        <v>923</v>
      </c>
      <c r="K31" s="2"/>
      <c r="L31" s="41"/>
      <c r="M31" s="12"/>
      <c r="N31" s="12"/>
      <c r="O31" s="17"/>
      <c r="P31" s="17"/>
      <c r="Q31" s="91" t="s">
        <v>41</v>
      </c>
      <c r="S31" s="17"/>
      <c r="T31" s="17"/>
      <c r="U31" s="17"/>
      <c r="V31" s="17"/>
      <c r="W31" s="17"/>
      <c r="X31" s="17"/>
      <c r="Y31" s="17"/>
      <c r="Z31" s="17"/>
      <c r="AA31" s="17"/>
      <c r="AB31" s="17"/>
      <c r="AC31" s="17"/>
      <c r="AD31" s="17"/>
    </row>
    <row r="32" spans="2:34" s="1" customFormat="1" ht="15.75" x14ac:dyDescent="0.25">
      <c r="B32" s="540" t="s">
        <v>332</v>
      </c>
      <c r="C32" s="608"/>
      <c r="E32" s="541" t="s">
        <v>65</v>
      </c>
      <c r="F32" s="539">
        <f>Poeng_tilgj</f>
        <v>153</v>
      </c>
      <c r="G32" s="512"/>
      <c r="H32" s="512"/>
      <c r="I32" s="512"/>
      <c r="J32" s="2"/>
      <c r="K32" s="2"/>
      <c r="L32" s="41"/>
      <c r="M32" s="13"/>
      <c r="N32" s="13"/>
      <c r="O32" s="17"/>
      <c r="P32" s="17"/>
      <c r="Q32" s="91" t="s">
        <v>39</v>
      </c>
      <c r="R32" s="17"/>
      <c r="S32" s="17"/>
      <c r="T32" s="17"/>
      <c r="U32" s="17"/>
      <c r="V32" s="17"/>
      <c r="W32" s="17"/>
      <c r="X32" s="17"/>
      <c r="Y32" s="17"/>
      <c r="Z32" s="17"/>
      <c r="AA32" s="17"/>
      <c r="AB32" s="17"/>
      <c r="AC32" s="17"/>
      <c r="AD32" s="17"/>
    </row>
    <row r="33" spans="2:30" s="1" customFormat="1" ht="15.75" x14ac:dyDescent="0.25">
      <c r="G33" s="512"/>
      <c r="H33" s="512"/>
      <c r="I33" s="512"/>
      <c r="J33" s="9"/>
      <c r="K33" s="9"/>
      <c r="L33" s="39"/>
      <c r="M33" s="13"/>
      <c r="N33" s="13"/>
      <c r="O33" s="93" t="s">
        <v>1027</v>
      </c>
      <c r="P33" s="17"/>
      <c r="Q33" s="91" t="s">
        <v>40</v>
      </c>
      <c r="R33" s="17"/>
      <c r="S33" s="17"/>
      <c r="T33" s="17"/>
      <c r="U33" s="17"/>
      <c r="V33" s="17"/>
      <c r="W33" s="17"/>
      <c r="X33" s="17"/>
      <c r="Y33" s="17"/>
      <c r="Z33" s="17"/>
      <c r="AA33" s="17"/>
      <c r="AB33" s="17"/>
      <c r="AC33" s="17"/>
      <c r="AD33" s="17"/>
    </row>
    <row r="34" spans="2:30" s="1" customFormat="1" ht="18.75" x14ac:dyDescent="0.3">
      <c r="B34" s="542" t="s">
        <v>400</v>
      </c>
      <c r="E34" s="542" t="s">
        <v>399</v>
      </c>
      <c r="G34" s="512"/>
      <c r="H34" s="512"/>
      <c r="I34" s="512"/>
      <c r="J34" s="9"/>
      <c r="K34" s="9"/>
      <c r="L34" s="39"/>
      <c r="M34" s="13"/>
      <c r="N34" s="13"/>
      <c r="O34" s="93" t="s">
        <v>281</v>
      </c>
      <c r="P34" s="17"/>
      <c r="Q34" s="94"/>
      <c r="R34" s="17"/>
      <c r="S34" s="17"/>
      <c r="T34" s="17"/>
      <c r="U34" s="17"/>
      <c r="V34" s="17"/>
      <c r="W34" s="17"/>
      <c r="X34" s="17"/>
      <c r="Y34" s="17"/>
      <c r="Z34" s="17"/>
      <c r="AA34" s="17"/>
      <c r="AB34" s="17"/>
      <c r="AC34" s="17"/>
      <c r="AD34" s="17"/>
    </row>
    <row r="35" spans="2:30" s="1" customFormat="1" ht="80.25" customHeight="1" x14ac:dyDescent="0.25">
      <c r="B35" s="1282"/>
      <c r="C35" s="1283"/>
      <c r="E35" s="1282"/>
      <c r="F35" s="1283"/>
      <c r="G35" s="512"/>
      <c r="H35" s="512"/>
      <c r="I35" s="512"/>
      <c r="J35" s="89"/>
      <c r="K35" s="89"/>
      <c r="L35" s="12"/>
      <c r="M35" s="12"/>
      <c r="N35" s="12"/>
      <c r="O35" s="17"/>
      <c r="P35" s="16"/>
      <c r="Q35" s="512"/>
      <c r="R35" s="16"/>
      <c r="S35" s="16"/>
      <c r="T35" s="16"/>
      <c r="U35" s="17"/>
      <c r="V35" s="17"/>
      <c r="W35" s="17"/>
      <c r="X35" s="17"/>
      <c r="Y35" s="17"/>
      <c r="Z35" s="17"/>
      <c r="AA35" s="17"/>
      <c r="AB35" s="17"/>
      <c r="AC35" s="17"/>
      <c r="AD35" s="17"/>
    </row>
    <row r="36" spans="2:30" s="1" customFormat="1" ht="15.75" x14ac:dyDescent="0.25">
      <c r="E36" s="89"/>
      <c r="F36" s="89"/>
      <c r="G36" s="512"/>
      <c r="H36" s="512"/>
      <c r="I36" s="512"/>
      <c r="J36" s="89"/>
      <c r="K36" s="89"/>
      <c r="L36" s="12"/>
      <c r="M36" s="12"/>
      <c r="N36" s="12"/>
      <c r="O36" s="17"/>
      <c r="P36" s="16"/>
      <c r="Q36" s="512"/>
      <c r="R36" s="16"/>
      <c r="S36" s="16"/>
      <c r="T36" s="16"/>
      <c r="U36" s="17"/>
      <c r="V36" s="17"/>
      <c r="W36" s="17"/>
      <c r="X36" s="17"/>
      <c r="Y36" s="17"/>
      <c r="Z36" s="17"/>
      <c r="AA36" s="17"/>
      <c r="AB36" s="17"/>
      <c r="AC36" s="17"/>
      <c r="AD36" s="17"/>
    </row>
    <row r="37" spans="2:30" s="1" customFormat="1" ht="15.75" x14ac:dyDescent="0.25">
      <c r="B37" s="512" t="s">
        <v>968</v>
      </c>
      <c r="E37" s="89"/>
      <c r="F37" s="89"/>
      <c r="G37" s="512"/>
      <c r="H37" s="512"/>
      <c r="I37" s="512"/>
      <c r="J37" s="89"/>
      <c r="K37" s="89"/>
      <c r="L37" s="12"/>
      <c r="M37" s="12"/>
      <c r="N37" s="12"/>
      <c r="O37" s="17"/>
      <c r="P37" s="16"/>
      <c r="Q37" s="1044"/>
      <c r="R37" s="16"/>
      <c r="S37" s="16"/>
      <c r="T37" s="16"/>
      <c r="U37" s="17"/>
      <c r="V37" s="17"/>
      <c r="W37" s="17"/>
      <c r="X37" s="17"/>
      <c r="Y37" s="17"/>
      <c r="Z37" s="17"/>
      <c r="AA37" s="17"/>
      <c r="AB37" s="17"/>
      <c r="AC37" s="17"/>
      <c r="AD37" s="17"/>
    </row>
    <row r="38" spans="2:30" s="1" customFormat="1" ht="15.75" x14ac:dyDescent="0.25">
      <c r="E38" s="89"/>
      <c r="F38" s="89"/>
      <c r="G38" s="512"/>
      <c r="H38" s="512"/>
      <c r="I38" s="512"/>
      <c r="J38" s="89"/>
      <c r="K38" s="89"/>
      <c r="L38" s="12"/>
      <c r="M38" s="12"/>
      <c r="N38" s="12"/>
      <c r="O38" s="17"/>
      <c r="P38" s="16"/>
      <c r="Q38" s="1044"/>
      <c r="R38" s="16"/>
      <c r="S38" s="16"/>
      <c r="T38" s="16"/>
      <c r="U38" s="17"/>
      <c r="V38" s="17"/>
      <c r="W38" s="17"/>
      <c r="X38" s="17"/>
      <c r="Y38" s="17"/>
      <c r="Z38" s="17"/>
      <c r="AA38" s="17"/>
      <c r="AB38" s="17"/>
      <c r="AC38" s="17"/>
      <c r="AD38" s="17"/>
    </row>
    <row r="39" spans="2:30" s="1" customFormat="1" ht="18.75" x14ac:dyDescent="0.3">
      <c r="B39" s="517" t="s">
        <v>49</v>
      </c>
      <c r="C39" s="7"/>
      <c r="D39" s="7"/>
      <c r="E39" s="543"/>
      <c r="F39" s="544"/>
      <c r="G39" s="512"/>
      <c r="H39" s="512"/>
      <c r="I39" s="512"/>
      <c r="L39" s="12"/>
      <c r="M39" s="12"/>
      <c r="N39" s="12"/>
      <c r="O39" s="17"/>
      <c r="P39" s="16"/>
      <c r="Q39" s="1044"/>
      <c r="R39" s="16"/>
      <c r="S39" s="16"/>
      <c r="T39" s="16"/>
      <c r="U39" s="17"/>
      <c r="V39" s="17"/>
      <c r="W39" s="17"/>
      <c r="X39" s="17"/>
      <c r="Y39" s="17"/>
      <c r="Z39" s="17"/>
      <c r="AA39" s="17"/>
      <c r="AB39" s="17"/>
      <c r="AC39" s="17"/>
      <c r="AD39" s="17"/>
    </row>
    <row r="40" spans="2:30" s="1" customFormat="1" ht="64.5" customHeight="1" x14ac:dyDescent="0.25">
      <c r="B40" s="1281" t="str">
        <f>"I, "&amp;AD_assessor&amp;O33</f>
        <v>I, , a qualified BREEAM-NOR assessor working on behalf of  confirm that the content of this report is to the best of my knowledge a true and accurate reflection of the performance of the above named building, as measured against the assessment criteria and reporting requirements of the BREEAM-NOR Scheme Document (SD5076NOR). Furthermore, I confirm that this assessment and the information on which it is based has been checked and verified in accordance with NGBC/BRE Group Ltd's UKAS accredited BREEAM-NOR operating procedures for BREEAM-NOR assessments and assessors, as described in the  technical scheme document (SD5076NOR) and associated BREEAM-NOR operational documents.</v>
      </c>
      <c r="C40" s="1281"/>
      <c r="D40" s="1281"/>
      <c r="E40" s="1281"/>
      <c r="F40" s="1281"/>
      <c r="G40" s="512"/>
      <c r="H40" s="512"/>
      <c r="I40" s="512"/>
      <c r="L40" s="14"/>
      <c r="M40" s="14"/>
      <c r="N40" s="12"/>
      <c r="O40" s="1" t="s">
        <v>270</v>
      </c>
      <c r="P40" s="2"/>
      <c r="R40" s="16"/>
      <c r="S40" s="16"/>
      <c r="T40" s="16"/>
      <c r="U40" s="17"/>
      <c r="V40" s="17"/>
      <c r="W40" s="17"/>
      <c r="X40" s="17"/>
      <c r="Y40" s="17"/>
      <c r="Z40" s="17"/>
      <c r="AA40" s="17"/>
      <c r="AB40" s="17"/>
      <c r="AC40" s="17"/>
      <c r="AD40" s="17"/>
    </row>
    <row r="41" spans="2:30" s="1" customFormat="1" ht="32.25" customHeight="1" x14ac:dyDescent="0.25">
      <c r="B41" s="545"/>
      <c r="C41" s="545"/>
      <c r="D41" s="545"/>
      <c r="E41" s="545"/>
      <c r="F41" s="545"/>
      <c r="G41" s="512"/>
      <c r="H41" s="512"/>
      <c r="I41" s="512"/>
      <c r="L41" s="14"/>
      <c r="M41" s="14"/>
      <c r="N41" s="12"/>
      <c r="P41" s="2"/>
      <c r="R41" s="16"/>
      <c r="S41" s="16"/>
      <c r="T41" s="16"/>
      <c r="U41" s="17"/>
      <c r="V41" s="17"/>
      <c r="W41" s="17"/>
      <c r="X41" s="17"/>
      <c r="Y41" s="17"/>
      <c r="Z41" s="17"/>
      <c r="AA41" s="17"/>
      <c r="AB41" s="17"/>
      <c r="AC41" s="17"/>
      <c r="AD41" s="17"/>
    </row>
    <row r="42" spans="2:30" s="1" customFormat="1" ht="15.75" x14ac:dyDescent="0.25">
      <c r="B42" s="546" t="s">
        <v>313</v>
      </c>
      <c r="C42" s="619"/>
      <c r="D42" s="547"/>
      <c r="E42" s="548"/>
      <c r="F42" s="549"/>
      <c r="G42" s="512"/>
      <c r="H42" s="512"/>
      <c r="I42" s="512"/>
      <c r="J42" s="12"/>
      <c r="K42" s="12"/>
      <c r="L42" s="12"/>
      <c r="M42" s="12"/>
      <c r="N42" s="12"/>
      <c r="O42" s="90" t="s">
        <v>254</v>
      </c>
      <c r="P42" s="47" t="s">
        <v>10</v>
      </c>
      <c r="Q42" s="539"/>
      <c r="R42" s="16"/>
      <c r="S42" s="16"/>
      <c r="T42" s="16"/>
      <c r="U42" s="17"/>
      <c r="V42" s="17"/>
      <c r="W42" s="17"/>
      <c r="X42" s="17"/>
      <c r="Y42" s="17"/>
      <c r="Z42" s="17"/>
      <c r="AA42" s="17"/>
      <c r="AB42" s="17"/>
      <c r="AC42" s="17"/>
      <c r="AD42" s="17"/>
    </row>
    <row r="43" spans="2:30" s="1" customFormat="1" ht="15.75" x14ac:dyDescent="0.25">
      <c r="B43" s="550" t="s">
        <v>8</v>
      </c>
      <c r="C43" s="619"/>
      <c r="D43" s="547"/>
      <c r="E43" s="548"/>
      <c r="F43" s="549"/>
      <c r="G43" s="512"/>
      <c r="H43" s="512"/>
      <c r="I43" s="512"/>
      <c r="J43" s="12"/>
      <c r="K43" s="12"/>
      <c r="L43" s="12"/>
      <c r="M43" s="12"/>
      <c r="N43" s="12"/>
      <c r="O43" s="47" t="s">
        <v>290</v>
      </c>
      <c r="P43" s="539"/>
      <c r="Q43" s="512"/>
      <c r="R43" s="40" t="s">
        <v>265</v>
      </c>
      <c r="S43" s="16"/>
      <c r="T43" s="16"/>
      <c r="U43" s="17"/>
      <c r="V43" s="17"/>
      <c r="W43" s="17"/>
      <c r="X43" s="17"/>
      <c r="Y43" s="17"/>
      <c r="Z43" s="17"/>
      <c r="AA43" s="17"/>
      <c r="AB43" s="17"/>
      <c r="AC43" s="17"/>
      <c r="AD43" s="17"/>
    </row>
    <row r="44" spans="2:30" s="1" customFormat="1" ht="16.5" thickBot="1" x14ac:dyDescent="0.3">
      <c r="B44" s="2"/>
      <c r="C44" s="547"/>
      <c r="D44" s="547"/>
      <c r="E44" s="551"/>
      <c r="F44" s="551"/>
      <c r="G44" s="512"/>
      <c r="H44" s="512"/>
      <c r="I44" s="512"/>
      <c r="J44" s="28"/>
      <c r="K44" s="28"/>
      <c r="L44" s="28"/>
      <c r="M44" s="28"/>
      <c r="N44" s="28"/>
      <c r="P44" s="17"/>
      <c r="Q44" s="17"/>
      <c r="R44" s="17"/>
      <c r="S44" s="17"/>
      <c r="T44" s="17"/>
      <c r="U44" s="17"/>
      <c r="V44" s="17"/>
      <c r="W44" s="17"/>
      <c r="X44" s="17"/>
      <c r="Y44" s="17"/>
      <c r="Z44" s="17"/>
      <c r="AA44" s="17"/>
      <c r="AB44" s="17"/>
      <c r="AC44" s="17"/>
      <c r="AD44" s="17"/>
    </row>
    <row r="45" spans="2:30" s="1" customFormat="1" ht="28.5" customHeight="1" x14ac:dyDescent="0.3">
      <c r="B45" s="517" t="s">
        <v>202</v>
      </c>
      <c r="C45" s="7"/>
      <c r="D45" s="7"/>
      <c r="E45" s="552"/>
      <c r="F45" s="552"/>
      <c r="G45" s="512"/>
      <c r="H45" s="512"/>
      <c r="I45" s="512"/>
      <c r="J45" s="28"/>
      <c r="K45" s="28"/>
      <c r="L45" s="28"/>
      <c r="M45" s="28"/>
      <c r="N45" s="266"/>
      <c r="O45" s="553" t="s">
        <v>295</v>
      </c>
      <c r="P45" s="73">
        <v>1</v>
      </c>
      <c r="Q45" s="17"/>
      <c r="R45" s="16"/>
      <c r="S45" s="16"/>
      <c r="T45" s="16"/>
      <c r="U45" s="17"/>
      <c r="V45" s="17"/>
      <c r="W45" s="17"/>
      <c r="X45" s="17"/>
      <c r="Y45" s="17"/>
      <c r="Z45" s="17"/>
      <c r="AA45" s="17"/>
      <c r="AB45" s="17"/>
      <c r="AC45" s="17"/>
      <c r="AD45" s="17"/>
    </row>
    <row r="46" spans="2:30" s="1" customFormat="1" ht="73.5" customHeight="1" x14ac:dyDescent="0.25">
      <c r="B46" s="1279" t="s">
        <v>1028</v>
      </c>
      <c r="C46" s="1279"/>
      <c r="D46" s="1279"/>
      <c r="E46" s="1279"/>
      <c r="F46" s="1279"/>
      <c r="G46" s="512"/>
      <c r="H46" s="512"/>
      <c r="I46" s="512"/>
      <c r="J46" s="28"/>
      <c r="K46" s="28"/>
      <c r="L46" s="28"/>
      <c r="M46" s="28"/>
      <c r="N46" s="265"/>
      <c r="O46" s="554" t="s">
        <v>296</v>
      </c>
      <c r="P46" s="74">
        <v>2</v>
      </c>
      <c r="Q46" s="17"/>
      <c r="R46" s="16"/>
      <c r="S46" s="16"/>
      <c r="T46" s="16"/>
      <c r="U46" s="17"/>
      <c r="V46" s="17"/>
      <c r="W46" s="17"/>
      <c r="X46" s="17"/>
      <c r="Y46" s="17"/>
      <c r="Z46" s="17"/>
      <c r="AA46" s="17"/>
      <c r="AB46" s="17"/>
      <c r="AC46" s="17"/>
      <c r="AD46" s="17"/>
    </row>
    <row r="47" spans="2:30" s="1" customFormat="1" ht="15.75" x14ac:dyDescent="0.25">
      <c r="D47" s="555"/>
      <c r="E47" s="28"/>
      <c r="F47" s="28"/>
      <c r="G47" s="512"/>
      <c r="H47" s="512"/>
      <c r="I47" s="512"/>
      <c r="J47" s="28"/>
      <c r="K47" s="28"/>
      <c r="L47" s="28"/>
      <c r="M47" s="28"/>
      <c r="N47" s="264"/>
      <c r="O47" s="556" t="s">
        <v>297</v>
      </c>
      <c r="P47" s="74">
        <v>3</v>
      </c>
      <c r="Q47" s="512"/>
      <c r="R47" s="17"/>
      <c r="S47" s="17"/>
      <c r="T47" s="17"/>
      <c r="U47" s="17"/>
      <c r="V47" s="17"/>
      <c r="W47" s="17"/>
      <c r="X47" s="17"/>
      <c r="Y47" s="17"/>
      <c r="Z47" s="17"/>
      <c r="AA47" s="17"/>
      <c r="AB47" s="17"/>
      <c r="AC47" s="17"/>
      <c r="AD47" s="17"/>
    </row>
    <row r="48" spans="2:30" s="1" customFormat="1" ht="19.5" thickBot="1" x14ac:dyDescent="0.35">
      <c r="B48" s="517" t="s">
        <v>7</v>
      </c>
      <c r="C48" s="7"/>
      <c r="D48" s="7"/>
      <c r="E48" s="552"/>
      <c r="F48" s="557"/>
      <c r="G48" s="512"/>
      <c r="H48" s="512"/>
      <c r="I48" s="512"/>
      <c r="J48" s="12"/>
      <c r="K48" s="12"/>
      <c r="L48" s="12"/>
      <c r="M48" s="12"/>
      <c r="N48" s="12"/>
      <c r="O48" s="75" t="s">
        <v>0</v>
      </c>
      <c r="P48" s="76">
        <v>4</v>
      </c>
      <c r="Q48" s="17"/>
      <c r="R48" s="17"/>
      <c r="S48" s="17"/>
      <c r="T48" s="17"/>
      <c r="U48" s="17"/>
      <c r="V48" s="17"/>
      <c r="W48" s="17"/>
      <c r="X48" s="17"/>
      <c r="Y48" s="17"/>
      <c r="Z48" s="17"/>
      <c r="AA48" s="17"/>
      <c r="AB48" s="17"/>
      <c r="AC48" s="17"/>
      <c r="AD48" s="17"/>
    </row>
    <row r="49" spans="2:30" s="1" customFormat="1" ht="15.75" x14ac:dyDescent="0.25">
      <c r="B49" s="1280" t="s">
        <v>312</v>
      </c>
      <c r="C49" s="1280"/>
      <c r="D49" s="1280"/>
      <c r="E49" s="1280"/>
      <c r="F49" s="1280"/>
      <c r="G49" s="512"/>
      <c r="H49" s="512"/>
      <c r="I49" s="512"/>
      <c r="J49" s="12"/>
      <c r="K49" s="12"/>
      <c r="L49" s="12"/>
      <c r="M49" s="12"/>
      <c r="N49" s="12"/>
      <c r="Q49" s="17"/>
      <c r="R49" s="17"/>
      <c r="S49" s="17"/>
      <c r="T49" s="17"/>
      <c r="U49" s="17"/>
      <c r="V49" s="17"/>
      <c r="W49" s="17"/>
      <c r="X49" s="17"/>
      <c r="Y49" s="17"/>
      <c r="Z49" s="17"/>
      <c r="AA49" s="17"/>
      <c r="AB49" s="17"/>
      <c r="AC49" s="17"/>
      <c r="AD49" s="17"/>
    </row>
    <row r="50" spans="2:30" s="1" customFormat="1" ht="15.75" x14ac:dyDescent="0.25">
      <c r="B50" s="2"/>
      <c r="C50" s="2"/>
      <c r="D50" s="2"/>
      <c r="E50" s="558"/>
      <c r="F50" s="559"/>
      <c r="G50" s="512"/>
      <c r="H50" s="512"/>
      <c r="I50" s="512"/>
      <c r="J50" s="12"/>
      <c r="K50" s="12"/>
      <c r="L50" s="12"/>
      <c r="M50" s="12"/>
      <c r="N50" s="12"/>
      <c r="O50" s="79" t="s">
        <v>51</v>
      </c>
      <c r="Q50" s="730" t="s">
        <v>141</v>
      </c>
      <c r="R50" s="730" t="s">
        <v>119</v>
      </c>
      <c r="S50" s="730" t="s">
        <v>95</v>
      </c>
      <c r="T50" s="730" t="s">
        <v>550</v>
      </c>
      <c r="U50" s="730" t="s">
        <v>551</v>
      </c>
      <c r="V50" s="730" t="s">
        <v>4</v>
      </c>
      <c r="W50" s="730" t="s">
        <v>552</v>
      </c>
      <c r="X50" s="730" t="s">
        <v>553</v>
      </c>
      <c r="Y50" s="730" t="s">
        <v>554</v>
      </c>
      <c r="Z50" s="17"/>
      <c r="AA50" s="17"/>
      <c r="AB50" s="17"/>
      <c r="AC50" s="17"/>
      <c r="AD50" s="17"/>
    </row>
    <row r="51" spans="2:30" s="1" customFormat="1" ht="15.75" x14ac:dyDescent="0.25">
      <c r="B51" s="558" t="s">
        <v>402</v>
      </c>
      <c r="C51" s="2"/>
      <c r="D51" s="2"/>
      <c r="E51" s="558"/>
      <c r="F51" s="559"/>
      <c r="G51" s="512"/>
      <c r="H51" s="512"/>
      <c r="I51" s="512"/>
      <c r="J51" s="12"/>
      <c r="K51" s="12"/>
      <c r="L51" s="12"/>
      <c r="M51" s="12"/>
      <c r="N51" s="12"/>
      <c r="O51" s="70" t="s">
        <v>12</v>
      </c>
      <c r="Q51" s="342" t="s">
        <v>941</v>
      </c>
      <c r="R51" s="342" t="s">
        <v>545</v>
      </c>
      <c r="S51" s="342" t="s">
        <v>555</v>
      </c>
      <c r="T51" s="342" t="s">
        <v>579</v>
      </c>
      <c r="U51" s="342"/>
      <c r="V51" s="342" t="s">
        <v>568</v>
      </c>
      <c r="W51" s="342"/>
      <c r="X51" s="342"/>
      <c r="Y51" s="342" t="s">
        <v>562</v>
      </c>
      <c r="Z51" s="17"/>
      <c r="AA51" s="17"/>
      <c r="AB51" s="17"/>
      <c r="AC51" s="17"/>
      <c r="AD51" s="17"/>
    </row>
    <row r="52" spans="2:30" s="1" customFormat="1" ht="15.75" x14ac:dyDescent="0.25">
      <c r="B52" s="2"/>
      <c r="C52" s="19"/>
      <c r="D52" s="19"/>
      <c r="E52" s="560"/>
      <c r="F52" s="561"/>
      <c r="G52" s="512"/>
      <c r="H52" s="512"/>
      <c r="I52" s="512"/>
      <c r="J52" s="12"/>
      <c r="K52" s="12"/>
      <c r="L52" s="12"/>
      <c r="M52" s="12"/>
      <c r="N52" s="12"/>
      <c r="O52" s="70" t="s">
        <v>13</v>
      </c>
      <c r="Q52" s="342" t="s">
        <v>943</v>
      </c>
      <c r="R52" s="342" t="s">
        <v>546</v>
      </c>
      <c r="S52" s="342" t="s">
        <v>556</v>
      </c>
      <c r="T52" s="342" t="s">
        <v>578</v>
      </c>
      <c r="U52" s="342"/>
      <c r="V52" s="342" t="s">
        <v>569</v>
      </c>
      <c r="W52" s="342"/>
      <c r="X52" s="342"/>
      <c r="Y52" s="342" t="s">
        <v>563</v>
      </c>
      <c r="Z52" s="17"/>
      <c r="AA52" s="17"/>
      <c r="AB52" s="17"/>
      <c r="AC52" s="17"/>
      <c r="AD52" s="17"/>
    </row>
    <row r="53" spans="2:30" s="1" customFormat="1" ht="15.75" x14ac:dyDescent="0.25">
      <c r="F53" s="39"/>
      <c r="G53" s="512"/>
      <c r="H53" s="512"/>
      <c r="I53" s="512"/>
      <c r="J53" s="12"/>
      <c r="K53" s="12"/>
      <c r="L53" s="12"/>
      <c r="M53" s="12"/>
      <c r="N53" s="12"/>
      <c r="O53" s="17" t="s">
        <v>330</v>
      </c>
      <c r="P53" s="17"/>
      <c r="Q53" s="342" t="s">
        <v>942</v>
      </c>
      <c r="R53" s="342" t="s">
        <v>13</v>
      </c>
      <c r="S53" s="342" t="s">
        <v>557</v>
      </c>
      <c r="T53" s="342" t="s">
        <v>13</v>
      </c>
      <c r="U53" s="342"/>
      <c r="V53" s="342" t="s">
        <v>13</v>
      </c>
      <c r="W53" s="342"/>
      <c r="X53" s="342"/>
      <c r="Y53" s="342" t="s">
        <v>564</v>
      </c>
      <c r="Z53" s="17"/>
      <c r="AA53" s="17"/>
      <c r="AB53" s="17"/>
      <c r="AC53" s="17"/>
      <c r="AD53" s="17"/>
    </row>
    <row r="54" spans="2:30" s="1" customFormat="1" ht="15.75" x14ac:dyDescent="0.25">
      <c r="B54" s="562" t="s">
        <v>401</v>
      </c>
      <c r="C54" s="563" t="str">
        <f>TVC_current_version</f>
        <v>1.3</v>
      </c>
      <c r="D54" s="2"/>
      <c r="E54" s="564">
        <f>TVC_current_date</f>
        <v>44736</v>
      </c>
      <c r="F54" s="39"/>
      <c r="G54" s="512"/>
      <c r="H54" s="512"/>
      <c r="I54" s="512"/>
      <c r="J54" s="12"/>
      <c r="K54" s="12"/>
      <c r="L54" s="12"/>
      <c r="M54" s="12"/>
      <c r="N54" s="12"/>
      <c r="O54" s="17"/>
      <c r="P54" s="17"/>
      <c r="Q54" s="342" t="s">
        <v>13</v>
      </c>
      <c r="R54" s="342"/>
      <c r="S54" s="342" t="s">
        <v>13</v>
      </c>
      <c r="T54" s="342"/>
      <c r="U54" s="342"/>
      <c r="V54" s="342"/>
      <c r="W54" s="342"/>
      <c r="X54" s="342"/>
      <c r="Y54" s="342" t="s">
        <v>13</v>
      </c>
      <c r="Z54" s="17"/>
      <c r="AA54" s="17"/>
      <c r="AB54" s="17"/>
      <c r="AC54" s="17"/>
      <c r="AD54" s="17"/>
    </row>
    <row r="55" spans="2:30" s="1" customFormat="1" ht="15.75" x14ac:dyDescent="0.25">
      <c r="B55" s="2"/>
      <c r="C55" s="2"/>
      <c r="D55" s="2"/>
      <c r="E55" s="4"/>
      <c r="F55" s="39"/>
      <c r="G55" s="512"/>
      <c r="H55" s="512"/>
      <c r="I55" s="512"/>
      <c r="J55" s="12"/>
      <c r="K55" s="12"/>
      <c r="L55" s="12"/>
      <c r="M55" s="12"/>
      <c r="N55" s="12"/>
      <c r="O55" s="70" t="s">
        <v>334</v>
      </c>
      <c r="P55" s="17"/>
      <c r="Q55" s="342"/>
      <c r="R55" s="342"/>
      <c r="S55" s="342"/>
      <c r="T55" s="342"/>
      <c r="U55" s="342"/>
      <c r="V55" s="342"/>
      <c r="W55" s="342"/>
      <c r="X55" s="342"/>
      <c r="Y55" s="342"/>
      <c r="Z55" s="17"/>
      <c r="AA55" s="17"/>
      <c r="AB55" s="17"/>
      <c r="AC55" s="17"/>
      <c r="AD55" s="17"/>
    </row>
    <row r="56" spans="2:30" x14ac:dyDescent="0.25">
      <c r="B56" s="565"/>
      <c r="C56" s="37"/>
      <c r="D56" s="565"/>
      <c r="E56" s="565"/>
      <c r="F56" s="565"/>
      <c r="O56" s="342" t="s">
        <v>335</v>
      </c>
      <c r="P56" s="17"/>
      <c r="Q56" s="17"/>
      <c r="R56" s="17"/>
      <c r="S56" s="17"/>
      <c r="T56" s="17"/>
      <c r="U56" s="17"/>
      <c r="V56" s="17"/>
      <c r="W56" s="17"/>
      <c r="X56" s="17"/>
      <c r="Y56" s="17"/>
      <c r="Z56" s="17"/>
      <c r="AA56" s="17"/>
      <c r="AB56" s="17"/>
      <c r="AC56" s="17"/>
      <c r="AD56" s="17"/>
    </row>
    <row r="57" spans="2:30" s="1" customFormat="1" ht="15.75" x14ac:dyDescent="0.25">
      <c r="B57" s="512"/>
      <c r="C57" s="512"/>
      <c r="D57" s="512"/>
      <c r="E57" s="15"/>
      <c r="F57" s="12"/>
      <c r="G57" s="512"/>
      <c r="H57" s="512"/>
      <c r="I57" s="512"/>
      <c r="J57" s="12"/>
      <c r="K57" s="12"/>
      <c r="L57" s="12"/>
      <c r="M57" s="12"/>
      <c r="N57" s="12"/>
      <c r="O57" s="342" t="s">
        <v>12</v>
      </c>
      <c r="P57" s="17"/>
      <c r="Q57" s="17"/>
      <c r="R57" s="17"/>
      <c r="S57" s="17"/>
      <c r="T57" s="17"/>
      <c r="U57" s="17"/>
      <c r="V57" s="17"/>
      <c r="W57" s="17"/>
      <c r="X57" s="17"/>
      <c r="Y57" s="17"/>
      <c r="Z57" s="17"/>
      <c r="AA57" s="17"/>
      <c r="AB57" s="17"/>
      <c r="AC57" s="17"/>
      <c r="AD57" s="17"/>
    </row>
    <row r="58" spans="2:30" s="1" customFormat="1" ht="15.75" x14ac:dyDescent="0.25">
      <c r="B58" s="512"/>
      <c r="C58" s="512"/>
      <c r="D58" s="512"/>
      <c r="E58" s="15"/>
      <c r="F58" s="12"/>
      <c r="G58" s="512"/>
      <c r="H58" s="512"/>
      <c r="I58" s="512"/>
      <c r="J58" s="12"/>
      <c r="K58" s="12"/>
      <c r="L58" s="12"/>
      <c r="M58" s="12"/>
      <c r="N58" s="12"/>
      <c r="O58" s="342" t="s">
        <v>329</v>
      </c>
      <c r="P58" s="17"/>
      <c r="Q58" s="17"/>
      <c r="R58" s="17"/>
      <c r="S58" s="17"/>
      <c r="T58" s="17"/>
      <c r="U58" s="17"/>
      <c r="V58" s="17"/>
      <c r="W58" s="17"/>
      <c r="X58" s="17"/>
      <c r="Y58" s="17"/>
      <c r="Z58" s="17"/>
      <c r="AA58" s="17"/>
      <c r="AB58" s="17"/>
      <c r="AC58" s="17"/>
      <c r="AD58" s="17"/>
    </row>
    <row r="59" spans="2:30" s="1" customFormat="1" ht="15.75" x14ac:dyDescent="0.25">
      <c r="C59" s="33"/>
      <c r="E59" s="512"/>
      <c r="F59" s="512"/>
      <c r="G59" s="512"/>
      <c r="H59" s="512"/>
      <c r="I59" s="512"/>
      <c r="J59" s="512"/>
      <c r="K59" s="512"/>
      <c r="L59" s="512"/>
      <c r="M59" s="512"/>
      <c r="N59" s="512"/>
      <c r="O59" s="342" t="s">
        <v>330</v>
      </c>
      <c r="P59" s="92"/>
      <c r="Q59" s="17"/>
      <c r="R59" s="17"/>
      <c r="S59" s="17"/>
      <c r="T59" s="17"/>
      <c r="U59" s="17"/>
      <c r="V59" s="17"/>
      <c r="W59" s="17"/>
      <c r="X59" s="17"/>
      <c r="Y59" s="17"/>
      <c r="Z59" s="17"/>
      <c r="AA59" s="17"/>
      <c r="AB59" s="17"/>
      <c r="AC59" s="17"/>
      <c r="AD59" s="17"/>
    </row>
    <row r="60" spans="2:30" s="1" customFormat="1" ht="15.75" x14ac:dyDescent="0.25">
      <c r="B60" s="38"/>
      <c r="C60" s="34" t="s">
        <v>8</v>
      </c>
      <c r="E60" s="15"/>
      <c r="F60" s="12"/>
      <c r="G60" s="512"/>
      <c r="H60" s="512"/>
      <c r="I60" s="512"/>
      <c r="J60" s="12"/>
      <c r="K60" s="12"/>
      <c r="L60" s="12"/>
      <c r="M60" s="12"/>
      <c r="N60" s="12"/>
      <c r="O60" s="17"/>
      <c r="P60" s="92"/>
      <c r="Q60" s="17"/>
      <c r="R60" s="17"/>
      <c r="S60" s="17"/>
      <c r="T60" s="17"/>
      <c r="U60" s="17"/>
      <c r="V60" s="17"/>
      <c r="W60" s="17"/>
      <c r="X60" s="17"/>
      <c r="Y60" s="17"/>
      <c r="Z60" s="17"/>
      <c r="AA60" s="17"/>
      <c r="AB60" s="17"/>
      <c r="AC60" s="17"/>
      <c r="AD60" s="17"/>
    </row>
    <row r="61" spans="2:30" s="1" customFormat="1" ht="15.75" x14ac:dyDescent="0.25">
      <c r="C61" s="566"/>
      <c r="E61" s="15"/>
      <c r="F61" s="12"/>
      <c r="G61" s="512"/>
      <c r="H61" s="512"/>
      <c r="I61" s="512"/>
      <c r="J61" s="12"/>
      <c r="K61" s="12"/>
      <c r="L61" s="12"/>
      <c r="M61" s="12"/>
      <c r="N61" s="12"/>
      <c r="O61" s="342" t="s">
        <v>14</v>
      </c>
      <c r="P61" s="92"/>
      <c r="Q61" s="17"/>
      <c r="R61" s="17"/>
      <c r="S61" s="17"/>
      <c r="T61" s="17"/>
      <c r="U61" s="17"/>
      <c r="V61" s="17"/>
      <c r="W61" s="17"/>
      <c r="X61" s="17"/>
      <c r="Y61" s="17"/>
      <c r="Z61" s="17"/>
      <c r="AA61" s="17"/>
      <c r="AB61" s="17"/>
      <c r="AC61" s="17"/>
      <c r="AD61" s="17"/>
    </row>
    <row r="62" spans="2:30" s="1" customFormat="1" ht="15.75" x14ac:dyDescent="0.25">
      <c r="E62" s="15"/>
      <c r="F62" s="12"/>
      <c r="G62" s="512"/>
      <c r="H62" s="512"/>
      <c r="I62" s="512"/>
      <c r="J62" s="12"/>
      <c r="K62" s="12"/>
      <c r="L62" s="12"/>
      <c r="M62" s="12"/>
      <c r="N62" s="12"/>
      <c r="O62" s="17"/>
      <c r="P62" s="17"/>
      <c r="Q62" s="17"/>
      <c r="R62" s="17"/>
      <c r="S62" s="17"/>
      <c r="T62" s="17"/>
      <c r="U62" s="17"/>
      <c r="V62" s="17"/>
      <c r="W62" s="17"/>
      <c r="X62" s="17"/>
      <c r="Y62" s="17"/>
      <c r="Z62" s="17"/>
      <c r="AA62" s="17"/>
      <c r="AB62" s="17"/>
      <c r="AC62" s="17"/>
      <c r="AD62" s="17"/>
    </row>
    <row r="63" spans="2:30" s="1" customFormat="1" ht="15.75" x14ac:dyDescent="0.25">
      <c r="B63" s="22"/>
      <c r="C63" s="35"/>
      <c r="E63" s="29"/>
      <c r="F63" s="29"/>
      <c r="G63" s="512"/>
      <c r="H63" s="512"/>
      <c r="I63" s="512"/>
      <c r="J63" s="29"/>
      <c r="K63" s="29"/>
      <c r="L63" s="29"/>
      <c r="M63" s="29"/>
      <c r="N63" s="29"/>
      <c r="O63" s="17"/>
      <c r="P63" s="17"/>
      <c r="Q63" s="17"/>
      <c r="R63" s="17"/>
      <c r="S63" s="17"/>
      <c r="T63" s="17"/>
      <c r="U63" s="17"/>
      <c r="V63" s="17"/>
      <c r="W63" s="17"/>
      <c r="X63" s="17"/>
      <c r="Y63" s="17"/>
      <c r="Z63" s="17"/>
      <c r="AA63" s="17"/>
      <c r="AB63" s="17"/>
      <c r="AC63" s="17"/>
      <c r="AD63" s="17"/>
    </row>
    <row r="64" spans="2:30" s="1" customFormat="1" ht="15" customHeight="1" x14ac:dyDescent="0.25">
      <c r="B64" s="10"/>
      <c r="C64" s="36"/>
      <c r="E64" s="25"/>
      <c r="F64" s="14"/>
      <c r="G64" s="512"/>
      <c r="H64" s="512"/>
      <c r="I64" s="512"/>
      <c r="J64" s="14"/>
      <c r="K64" s="14"/>
      <c r="L64" s="14"/>
      <c r="M64" s="14"/>
      <c r="N64" s="14"/>
      <c r="O64" s="48" t="s">
        <v>291</v>
      </c>
      <c r="P64" s="523" t="s">
        <v>278</v>
      </c>
      <c r="Q64" s="17"/>
      <c r="R64" s="17"/>
      <c r="S64" s="17"/>
      <c r="T64" s="17"/>
      <c r="U64" s="512"/>
      <c r="V64" s="512"/>
      <c r="W64" s="512"/>
      <c r="X64" s="512"/>
      <c r="Y64" s="512"/>
      <c r="Z64" s="512"/>
      <c r="AA64" s="512"/>
      <c r="AB64" s="512"/>
      <c r="AC64" s="512"/>
      <c r="AD64" s="512"/>
    </row>
    <row r="65" spans="2:30" s="1" customFormat="1" ht="15.75" x14ac:dyDescent="0.25">
      <c r="B65" s="11"/>
      <c r="C65" s="36"/>
      <c r="E65" s="25"/>
      <c r="F65" s="14"/>
      <c r="G65" s="512"/>
      <c r="H65" s="512"/>
      <c r="I65" s="512"/>
      <c r="J65" s="14"/>
      <c r="K65" s="14"/>
      <c r="L65" s="14"/>
      <c r="M65" s="14"/>
      <c r="N65" s="14"/>
      <c r="O65" s="512"/>
      <c r="P65" s="512"/>
      <c r="Q65" s="512"/>
      <c r="R65" s="512"/>
      <c r="S65" s="512"/>
      <c r="T65" s="512"/>
      <c r="U65" s="512"/>
      <c r="V65" s="512"/>
      <c r="W65" s="512"/>
      <c r="X65" s="512"/>
      <c r="Y65" s="512"/>
      <c r="Z65" s="512"/>
      <c r="AA65" s="512"/>
      <c r="AB65" s="512"/>
      <c r="AC65" s="512"/>
      <c r="AD65" s="512"/>
    </row>
    <row r="66" spans="2:30" s="1" customFormat="1" ht="15.75" x14ac:dyDescent="0.25">
      <c r="B66" s="21"/>
      <c r="C66" s="35"/>
      <c r="E66" s="15"/>
      <c r="F66" s="12"/>
      <c r="G66" s="512"/>
      <c r="H66" s="512"/>
      <c r="I66" s="512"/>
      <c r="J66" s="12"/>
      <c r="K66" s="12"/>
      <c r="L66" s="12"/>
      <c r="M66" s="12"/>
      <c r="N66" s="12"/>
      <c r="O66" s="512"/>
      <c r="P66" s="512"/>
      <c r="Q66" s="512"/>
      <c r="R66" s="512"/>
      <c r="S66" s="512"/>
      <c r="T66" s="512"/>
      <c r="U66" s="512"/>
      <c r="V66" s="512"/>
      <c r="W66" s="512"/>
      <c r="X66" s="512"/>
      <c r="Y66" s="512"/>
      <c r="Z66" s="512"/>
      <c r="AA66" s="512"/>
      <c r="AB66" s="512"/>
      <c r="AC66" s="512"/>
      <c r="AD66" s="512"/>
    </row>
    <row r="67" spans="2:30" s="1" customFormat="1" ht="15.75" x14ac:dyDescent="0.25">
      <c r="B67" s="10"/>
      <c r="C67" s="36"/>
      <c r="E67" s="15"/>
      <c r="F67" s="12"/>
      <c r="G67" s="512"/>
      <c r="H67" s="512"/>
      <c r="I67" s="512"/>
      <c r="J67" s="12"/>
      <c r="K67" s="12"/>
      <c r="L67" s="12"/>
      <c r="M67" s="12"/>
      <c r="N67" s="12"/>
      <c r="O67" s="512"/>
      <c r="Q67" s="512"/>
      <c r="R67" s="512"/>
      <c r="S67" s="512"/>
      <c r="T67" s="512"/>
      <c r="U67" s="512"/>
      <c r="V67" s="512"/>
      <c r="W67" s="512"/>
      <c r="X67" s="512"/>
      <c r="Y67" s="512"/>
      <c r="Z67" s="512"/>
      <c r="AA67" s="512"/>
      <c r="AB67" s="512"/>
      <c r="AC67" s="512"/>
      <c r="AD67" s="512"/>
    </row>
    <row r="68" spans="2:30" s="1" customFormat="1" ht="15.75" x14ac:dyDescent="0.25">
      <c r="B68" s="5"/>
      <c r="C68" s="37"/>
      <c r="E68" s="15"/>
      <c r="F68" s="12"/>
      <c r="G68" s="512"/>
      <c r="H68" s="512"/>
      <c r="I68" s="512"/>
      <c r="J68" s="12"/>
      <c r="K68" s="12"/>
      <c r="L68" s="12"/>
      <c r="M68" s="12"/>
      <c r="N68" s="12"/>
      <c r="O68" s="512"/>
      <c r="P68" s="17"/>
      <c r="Q68" s="512"/>
      <c r="R68" s="512"/>
      <c r="S68" s="512"/>
      <c r="T68" s="512"/>
      <c r="U68" s="512"/>
      <c r="V68" s="512"/>
      <c r="W68" s="512"/>
      <c r="X68" s="512"/>
      <c r="Y68" s="512"/>
      <c r="Z68" s="512"/>
      <c r="AA68" s="512"/>
      <c r="AB68" s="512"/>
      <c r="AC68" s="512"/>
      <c r="AD68" s="512"/>
    </row>
    <row r="69" spans="2:30" s="1" customFormat="1" ht="15.75" x14ac:dyDescent="0.25">
      <c r="B69" s="2"/>
      <c r="C69" s="37"/>
      <c r="E69" s="15"/>
      <c r="F69" s="12"/>
      <c r="G69" s="512"/>
      <c r="H69" s="512"/>
      <c r="I69" s="512"/>
      <c r="J69" s="12"/>
      <c r="K69" s="12"/>
      <c r="L69" s="12"/>
      <c r="M69" s="12"/>
      <c r="N69" s="12"/>
      <c r="O69" s="522" t="s">
        <v>331</v>
      </c>
      <c r="P69" s="523" t="s">
        <v>12</v>
      </c>
      <c r="Q69" s="512"/>
      <c r="R69" s="512"/>
      <c r="S69" s="512"/>
      <c r="T69" s="512"/>
      <c r="U69" s="512"/>
      <c r="V69" s="512"/>
      <c r="W69" s="512"/>
      <c r="X69" s="512"/>
      <c r="Y69" s="512"/>
      <c r="Z69" s="512"/>
      <c r="AA69" s="512"/>
      <c r="AB69" s="512"/>
      <c r="AC69" s="512"/>
      <c r="AD69" s="512"/>
    </row>
    <row r="70" spans="2:30" s="1" customFormat="1" x14ac:dyDescent="0.25">
      <c r="B70" s="2"/>
      <c r="C70" s="37"/>
      <c r="E70" s="2"/>
      <c r="G70" s="512"/>
      <c r="H70" s="512"/>
      <c r="I70" s="512"/>
      <c r="O70" s="512"/>
      <c r="P70" s="512"/>
      <c r="Q70" s="512"/>
      <c r="R70" s="512"/>
      <c r="S70" s="512"/>
      <c r="T70" s="512"/>
      <c r="U70" s="512"/>
      <c r="V70" s="512"/>
      <c r="W70" s="512"/>
      <c r="X70" s="512"/>
      <c r="Y70" s="512"/>
      <c r="Z70" s="512"/>
      <c r="AA70" s="512"/>
      <c r="AB70" s="512"/>
      <c r="AC70" s="512"/>
      <c r="AD70" s="512"/>
    </row>
    <row r="71" spans="2:30" s="1" customFormat="1" x14ac:dyDescent="0.25">
      <c r="C71" s="18"/>
      <c r="E71" s="2"/>
      <c r="G71" s="512"/>
      <c r="H71" s="512"/>
      <c r="I71" s="512"/>
      <c r="O71" s="512"/>
      <c r="P71" s="512"/>
      <c r="Q71" s="512"/>
      <c r="R71" s="512"/>
      <c r="S71" s="512"/>
      <c r="T71" s="512"/>
      <c r="U71" s="512"/>
      <c r="V71" s="512"/>
      <c r="W71" s="512"/>
      <c r="X71" s="512"/>
      <c r="Y71" s="512"/>
      <c r="Z71" s="512"/>
      <c r="AA71" s="512"/>
      <c r="AB71" s="512"/>
      <c r="AC71" s="512"/>
      <c r="AD71" s="512"/>
    </row>
    <row r="72" spans="2:30" s="1" customFormat="1" x14ac:dyDescent="0.25">
      <c r="C72" s="18"/>
      <c r="E72" s="2"/>
      <c r="G72" s="512"/>
      <c r="H72" s="512"/>
      <c r="I72" s="512"/>
      <c r="O72" s="512"/>
      <c r="P72" s="512"/>
      <c r="Q72" s="512"/>
      <c r="R72" s="512"/>
      <c r="S72" s="512"/>
      <c r="T72" s="512"/>
      <c r="U72" s="512"/>
      <c r="V72" s="512"/>
      <c r="W72" s="512"/>
      <c r="X72" s="512"/>
      <c r="Y72" s="512"/>
      <c r="Z72" s="512"/>
      <c r="AA72" s="512"/>
      <c r="AB72" s="512"/>
      <c r="AC72" s="512"/>
      <c r="AD72" s="512"/>
    </row>
    <row r="73" spans="2:30" s="1" customFormat="1" x14ac:dyDescent="0.25">
      <c r="E73" s="2"/>
      <c r="G73" s="512"/>
      <c r="H73" s="512"/>
      <c r="I73" s="512"/>
      <c r="O73" s="512"/>
      <c r="P73" s="512"/>
      <c r="Q73" s="512"/>
      <c r="R73" s="512"/>
      <c r="S73" s="512"/>
      <c r="T73" s="512"/>
      <c r="U73" s="512"/>
      <c r="V73" s="512"/>
      <c r="W73" s="512"/>
      <c r="X73" s="512"/>
      <c r="Y73" s="512"/>
      <c r="Z73" s="512"/>
      <c r="AA73" s="512"/>
      <c r="AB73" s="512"/>
      <c r="AC73" s="512"/>
      <c r="AD73" s="512"/>
    </row>
    <row r="74" spans="2:30" s="1" customFormat="1" x14ac:dyDescent="0.25">
      <c r="C74" s="18"/>
      <c r="E74" s="2"/>
      <c r="G74" s="512"/>
      <c r="H74" s="512"/>
      <c r="I74" s="512"/>
      <c r="O74" s="512"/>
      <c r="P74" s="512"/>
      <c r="Q74" s="512"/>
      <c r="R74" s="512"/>
      <c r="S74" s="512"/>
      <c r="T74" s="512"/>
      <c r="U74" s="512"/>
      <c r="V74" s="512"/>
      <c r="W74" s="512"/>
      <c r="X74" s="512"/>
      <c r="Y74" s="512"/>
      <c r="Z74" s="512"/>
      <c r="AA74" s="512"/>
      <c r="AB74" s="512"/>
      <c r="AC74" s="512"/>
      <c r="AD74" s="512"/>
    </row>
    <row r="75" spans="2:30" s="1" customFormat="1" x14ac:dyDescent="0.25">
      <c r="C75" s="18"/>
      <c r="E75" s="2"/>
      <c r="G75" s="512"/>
      <c r="H75" s="512"/>
      <c r="I75" s="512"/>
      <c r="O75" s="512"/>
      <c r="P75" s="512"/>
      <c r="Q75" s="512"/>
      <c r="R75" s="512"/>
      <c r="S75" s="512"/>
      <c r="T75" s="512"/>
      <c r="U75" s="512"/>
      <c r="V75" s="512"/>
      <c r="W75" s="512"/>
      <c r="X75" s="512"/>
      <c r="Y75" s="512"/>
      <c r="Z75" s="512"/>
      <c r="AA75" s="512"/>
      <c r="AB75" s="512"/>
      <c r="AC75" s="512"/>
      <c r="AD75" s="512"/>
    </row>
    <row r="76" spans="2:30" s="1" customFormat="1" x14ac:dyDescent="0.25">
      <c r="C76" s="18"/>
      <c r="G76" s="512"/>
      <c r="H76" s="512"/>
      <c r="I76" s="512"/>
      <c r="O76" s="512"/>
      <c r="P76" s="512"/>
      <c r="Q76" s="512"/>
      <c r="R76" s="512"/>
      <c r="S76" s="512"/>
      <c r="T76" s="512"/>
      <c r="U76" s="512"/>
      <c r="V76" s="512"/>
      <c r="W76" s="512"/>
      <c r="X76" s="512"/>
      <c r="Y76" s="512"/>
      <c r="Z76" s="512"/>
      <c r="AA76" s="512"/>
      <c r="AB76" s="512"/>
      <c r="AC76" s="512"/>
      <c r="AD76" s="512"/>
    </row>
    <row r="77" spans="2:30" s="1" customFormat="1" x14ac:dyDescent="0.25">
      <c r="C77" s="18"/>
      <c r="G77" s="512"/>
      <c r="H77" s="512"/>
      <c r="I77" s="512"/>
      <c r="J77" s="2"/>
      <c r="K77" s="2"/>
      <c r="O77" s="512"/>
      <c r="P77" s="512"/>
      <c r="Q77" s="512"/>
      <c r="R77" s="512"/>
      <c r="S77" s="512"/>
      <c r="T77" s="512"/>
      <c r="U77" s="512"/>
      <c r="V77" s="512"/>
      <c r="W77" s="512"/>
      <c r="X77" s="512"/>
      <c r="Y77" s="512"/>
      <c r="Z77" s="512"/>
      <c r="AA77" s="512"/>
      <c r="AB77" s="512"/>
      <c r="AC77" s="512"/>
      <c r="AD77" s="512"/>
    </row>
    <row r="78" spans="2:30" s="1" customFormat="1" x14ac:dyDescent="0.25">
      <c r="C78" s="18"/>
      <c r="E78" s="2"/>
      <c r="G78" s="512"/>
      <c r="H78" s="512"/>
      <c r="I78" s="512"/>
      <c r="O78" s="512"/>
      <c r="P78" s="512"/>
      <c r="Q78" s="512"/>
      <c r="R78" s="512"/>
      <c r="S78" s="512"/>
      <c r="T78" s="512"/>
      <c r="U78" s="512"/>
      <c r="V78" s="512"/>
      <c r="W78" s="512"/>
      <c r="X78" s="512"/>
      <c r="Y78" s="512"/>
      <c r="Z78" s="512"/>
      <c r="AA78" s="512"/>
      <c r="AB78" s="512"/>
      <c r="AC78" s="512"/>
      <c r="AD78" s="512"/>
    </row>
    <row r="79" spans="2:30" s="1" customFormat="1" x14ac:dyDescent="0.25">
      <c r="C79" s="18"/>
      <c r="E79" s="2"/>
      <c r="G79" s="512"/>
      <c r="H79" s="512"/>
      <c r="I79" s="512"/>
      <c r="O79" s="512"/>
      <c r="P79" s="512"/>
      <c r="Q79" s="512"/>
      <c r="R79" s="512"/>
      <c r="S79" s="512"/>
      <c r="T79" s="512"/>
      <c r="U79" s="512"/>
      <c r="V79" s="512"/>
      <c r="W79" s="512"/>
      <c r="X79" s="512"/>
      <c r="Y79" s="512"/>
      <c r="Z79" s="512"/>
      <c r="AA79" s="512"/>
      <c r="AB79" s="512"/>
      <c r="AC79" s="512"/>
      <c r="AD79" s="512"/>
    </row>
    <row r="80" spans="2:30" s="1" customFormat="1" x14ac:dyDescent="0.25">
      <c r="C80" s="18"/>
      <c r="E80" s="2"/>
      <c r="G80" s="512"/>
      <c r="H80" s="512"/>
      <c r="I80" s="512"/>
      <c r="O80" s="512"/>
      <c r="P80" s="512"/>
      <c r="Q80" s="522" t="s">
        <v>25</v>
      </c>
      <c r="R80" s="523" t="s">
        <v>84</v>
      </c>
      <c r="S80" s="512"/>
      <c r="T80" s="512"/>
      <c r="U80" s="512"/>
      <c r="V80" s="512"/>
      <c r="W80" s="512"/>
      <c r="X80" s="512"/>
      <c r="Y80" s="512"/>
      <c r="Z80" s="512"/>
      <c r="AA80" s="512"/>
      <c r="AB80" s="512"/>
      <c r="AC80" s="512"/>
      <c r="AD80" s="512"/>
    </row>
    <row r="81" spans="3:30" s="1" customFormat="1" x14ac:dyDescent="0.25">
      <c r="C81" s="18"/>
      <c r="E81" s="2"/>
      <c r="G81" s="512"/>
      <c r="H81" s="512"/>
      <c r="I81" s="512"/>
      <c r="O81" s="512"/>
      <c r="P81" s="512"/>
      <c r="Q81" s="522" t="s">
        <v>322</v>
      </c>
      <c r="R81" s="524" t="s">
        <v>43</v>
      </c>
      <c r="S81" s="512"/>
      <c r="T81" s="512"/>
      <c r="U81" s="512"/>
      <c r="V81" s="512"/>
      <c r="W81" s="512"/>
      <c r="X81" s="512"/>
      <c r="Y81" s="512"/>
      <c r="Z81" s="512"/>
      <c r="AA81" s="512"/>
      <c r="AB81" s="512"/>
      <c r="AC81" s="512"/>
      <c r="AD81" s="512"/>
    </row>
    <row r="82" spans="3:30" s="1" customFormat="1" x14ac:dyDescent="0.25">
      <c r="C82" s="18"/>
      <c r="E82" s="2"/>
      <c r="G82" s="512"/>
      <c r="H82" s="512"/>
      <c r="I82" s="512"/>
      <c r="O82" s="512"/>
      <c r="P82" s="512"/>
      <c r="Q82" s="526" t="s">
        <v>323</v>
      </c>
      <c r="R82" s="524" t="s">
        <v>540</v>
      </c>
      <c r="S82" s="512"/>
      <c r="T82" s="512"/>
      <c r="U82" s="512"/>
      <c r="V82" s="512"/>
      <c r="W82" s="512"/>
      <c r="X82" s="512"/>
      <c r="Y82" s="512"/>
      <c r="Z82" s="512"/>
      <c r="AA82" s="512"/>
      <c r="AB82" s="512"/>
      <c r="AC82" s="512"/>
      <c r="AD82" s="512"/>
    </row>
    <row r="83" spans="3:30" s="1" customFormat="1" x14ac:dyDescent="0.25">
      <c r="C83" s="18"/>
      <c r="E83" s="2"/>
      <c r="G83" s="512"/>
      <c r="H83" s="512"/>
      <c r="I83" s="512"/>
      <c r="O83" s="512"/>
      <c r="P83" s="512"/>
      <c r="Q83" s="512"/>
      <c r="R83" s="512"/>
      <c r="S83" s="512"/>
      <c r="T83" s="512"/>
      <c r="U83" s="512"/>
      <c r="V83" s="512"/>
      <c r="W83" s="512"/>
      <c r="X83" s="512"/>
      <c r="Y83" s="512"/>
      <c r="Z83" s="512"/>
      <c r="AA83" s="512"/>
      <c r="AB83" s="512"/>
      <c r="AC83" s="512"/>
      <c r="AD83" s="512"/>
    </row>
    <row r="84" spans="3:30" s="1" customFormat="1" x14ac:dyDescent="0.25">
      <c r="E84" s="2"/>
      <c r="G84" s="512"/>
      <c r="H84" s="512"/>
      <c r="I84" s="512"/>
      <c r="O84" s="512"/>
      <c r="P84" s="512"/>
      <c r="Q84" s="512"/>
      <c r="R84" s="512"/>
      <c r="S84" s="512"/>
      <c r="T84" s="512"/>
      <c r="U84" s="512"/>
      <c r="V84" s="512"/>
      <c r="W84" s="512"/>
      <c r="X84" s="512"/>
      <c r="Y84" s="512"/>
      <c r="Z84" s="512"/>
      <c r="AA84" s="512"/>
      <c r="AB84" s="512"/>
      <c r="AC84" s="512"/>
      <c r="AD84" s="512"/>
    </row>
    <row r="85" spans="3:30" s="1" customFormat="1" x14ac:dyDescent="0.25">
      <c r="E85" s="2"/>
      <c r="G85" s="512"/>
      <c r="H85" s="512"/>
      <c r="I85" s="512"/>
      <c r="O85" s="512"/>
      <c r="P85" s="512"/>
      <c r="Q85" s="512"/>
      <c r="R85" s="512"/>
      <c r="S85" s="512"/>
      <c r="T85" s="512"/>
      <c r="U85" s="512"/>
      <c r="V85" s="512"/>
      <c r="W85" s="512"/>
      <c r="X85" s="512"/>
      <c r="Y85" s="512"/>
      <c r="Z85" s="512"/>
      <c r="AA85" s="512"/>
      <c r="AB85" s="512"/>
      <c r="AC85" s="512"/>
      <c r="AD85" s="512"/>
    </row>
    <row r="86" spans="3:30" s="1" customFormat="1" x14ac:dyDescent="0.25">
      <c r="E86" s="2"/>
      <c r="G86" s="512"/>
      <c r="H86" s="512"/>
      <c r="I86" s="512"/>
      <c r="O86" s="512"/>
      <c r="P86" s="512"/>
      <c r="Q86" s="512"/>
      <c r="R86" s="512"/>
      <c r="S86" s="512"/>
      <c r="T86" s="512"/>
      <c r="U86" s="512"/>
      <c r="V86" s="512"/>
      <c r="W86" s="512"/>
      <c r="X86" s="512"/>
      <c r="Y86" s="512"/>
      <c r="Z86" s="512"/>
      <c r="AA86" s="512"/>
      <c r="AB86" s="512"/>
      <c r="AC86" s="512"/>
      <c r="AD86" s="512"/>
    </row>
    <row r="87" spans="3:30" s="1" customFormat="1" x14ac:dyDescent="0.25">
      <c r="E87" s="2"/>
      <c r="G87" s="512"/>
      <c r="H87" s="512"/>
      <c r="I87" s="512"/>
      <c r="O87" s="512"/>
      <c r="P87" s="512"/>
      <c r="Q87" s="512"/>
      <c r="R87" s="512"/>
      <c r="S87" s="512"/>
      <c r="T87" s="512"/>
      <c r="U87" s="512"/>
      <c r="V87" s="512"/>
      <c r="W87" s="512"/>
      <c r="X87" s="512"/>
      <c r="Y87" s="512"/>
      <c r="Z87" s="512"/>
      <c r="AA87" s="512"/>
      <c r="AB87" s="512"/>
      <c r="AC87" s="512"/>
      <c r="AD87" s="512"/>
    </row>
    <row r="88" spans="3:30" s="1" customFormat="1" x14ac:dyDescent="0.25">
      <c r="E88" s="2"/>
      <c r="G88" s="512"/>
      <c r="H88" s="512"/>
      <c r="I88" s="512"/>
      <c r="O88" s="512"/>
      <c r="P88" s="512"/>
      <c r="Q88" s="512"/>
      <c r="R88" s="512"/>
      <c r="S88" s="512"/>
      <c r="T88" s="512"/>
      <c r="U88" s="512"/>
      <c r="V88" s="512"/>
      <c r="W88" s="512"/>
      <c r="X88" s="512"/>
      <c r="Y88" s="512"/>
      <c r="Z88" s="512"/>
      <c r="AA88" s="512"/>
      <c r="AB88" s="512"/>
      <c r="AC88" s="512"/>
      <c r="AD88" s="512"/>
    </row>
    <row r="89" spans="3:30" s="1" customFormat="1" x14ac:dyDescent="0.25">
      <c r="E89" s="2"/>
      <c r="G89" s="512"/>
      <c r="H89" s="512"/>
      <c r="I89" s="512"/>
      <c r="O89" s="512"/>
      <c r="P89" s="512"/>
      <c r="Q89" s="512"/>
      <c r="R89" s="512"/>
      <c r="S89" s="512"/>
      <c r="T89" s="512"/>
      <c r="U89" s="512"/>
      <c r="V89" s="512"/>
      <c r="W89" s="512"/>
      <c r="X89" s="512"/>
      <c r="Y89" s="512"/>
      <c r="Z89" s="512"/>
      <c r="AA89" s="512"/>
      <c r="AB89" s="512"/>
      <c r="AC89" s="512"/>
      <c r="AD89" s="512"/>
    </row>
    <row r="90" spans="3:30" s="1" customFormat="1" x14ac:dyDescent="0.25">
      <c r="E90" s="2"/>
      <c r="G90" s="512"/>
      <c r="H90" s="512"/>
      <c r="I90" s="512"/>
      <c r="O90" s="512"/>
      <c r="P90" s="512"/>
      <c r="Q90" s="512"/>
      <c r="R90" s="512"/>
      <c r="S90" s="512"/>
      <c r="T90" s="512"/>
      <c r="U90" s="512"/>
      <c r="V90" s="512"/>
      <c r="W90" s="512"/>
      <c r="X90" s="512"/>
      <c r="Y90" s="512"/>
      <c r="Z90" s="512"/>
      <c r="AA90" s="512"/>
      <c r="AB90" s="512"/>
      <c r="AC90" s="512"/>
      <c r="AD90" s="512"/>
    </row>
    <row r="91" spans="3:30" s="1" customFormat="1" x14ac:dyDescent="0.25">
      <c r="E91" s="2"/>
      <c r="G91" s="512"/>
      <c r="H91" s="512"/>
      <c r="I91" s="512"/>
      <c r="O91" s="512"/>
      <c r="P91" s="512"/>
      <c r="Q91" s="512"/>
      <c r="R91" s="512"/>
      <c r="S91" s="512"/>
      <c r="T91" s="512"/>
      <c r="U91" s="512"/>
      <c r="V91" s="512"/>
      <c r="W91" s="512"/>
      <c r="X91" s="512"/>
      <c r="Y91" s="512"/>
      <c r="Z91" s="512"/>
      <c r="AA91" s="512"/>
      <c r="AB91" s="512"/>
      <c r="AC91" s="512"/>
      <c r="AD91" s="512"/>
    </row>
    <row r="92" spans="3:30" s="1" customFormat="1" x14ac:dyDescent="0.25">
      <c r="E92" s="2"/>
      <c r="G92" s="512"/>
      <c r="H92" s="512"/>
      <c r="I92" s="512"/>
      <c r="O92" s="512"/>
      <c r="P92" s="512"/>
      <c r="Q92" s="512"/>
      <c r="R92" s="512"/>
      <c r="S92" s="512"/>
      <c r="T92" s="512"/>
      <c r="U92" s="512"/>
      <c r="V92" s="512"/>
      <c r="W92" s="512"/>
      <c r="X92" s="512"/>
      <c r="Y92" s="512"/>
      <c r="Z92" s="512"/>
      <c r="AA92" s="512"/>
      <c r="AB92" s="512"/>
      <c r="AC92" s="512"/>
      <c r="AD92" s="512"/>
    </row>
    <row r="93" spans="3:30" s="1" customFormat="1" x14ac:dyDescent="0.25">
      <c r="E93" s="2"/>
      <c r="G93" s="512"/>
      <c r="H93" s="512"/>
      <c r="I93" s="512"/>
      <c r="O93" s="512"/>
      <c r="P93" s="512"/>
      <c r="Q93" s="512"/>
      <c r="R93" s="512"/>
      <c r="S93" s="512"/>
      <c r="T93" s="512"/>
      <c r="U93" s="512"/>
      <c r="V93" s="512"/>
      <c r="W93" s="512"/>
      <c r="X93" s="512"/>
      <c r="Y93" s="512"/>
      <c r="Z93" s="512"/>
      <c r="AA93" s="512"/>
      <c r="AB93" s="512"/>
      <c r="AC93" s="512"/>
      <c r="AD93" s="512"/>
    </row>
    <row r="94" spans="3:30" s="1" customFormat="1" x14ac:dyDescent="0.25">
      <c r="E94" s="2"/>
      <c r="G94" s="512"/>
      <c r="H94" s="512"/>
      <c r="I94" s="512"/>
      <c r="O94" s="512"/>
      <c r="P94" s="512"/>
      <c r="Q94" s="512"/>
      <c r="R94" s="512"/>
      <c r="S94" s="512"/>
      <c r="T94" s="512"/>
      <c r="U94" s="512"/>
      <c r="V94" s="512"/>
      <c r="W94" s="512"/>
      <c r="X94" s="512"/>
      <c r="Y94" s="512"/>
      <c r="Z94" s="512"/>
      <c r="AA94" s="512"/>
      <c r="AB94" s="512"/>
      <c r="AC94" s="512"/>
      <c r="AD94" s="512"/>
    </row>
    <row r="95" spans="3:30" s="1" customFormat="1" x14ac:dyDescent="0.25">
      <c r="E95" s="2"/>
      <c r="G95" s="512"/>
      <c r="H95" s="512"/>
      <c r="I95" s="512"/>
      <c r="O95" s="512"/>
      <c r="P95" s="512"/>
      <c r="Q95" s="512"/>
      <c r="R95" s="512"/>
      <c r="S95" s="512"/>
      <c r="T95" s="512"/>
      <c r="U95" s="512"/>
      <c r="V95" s="512"/>
      <c r="W95" s="512"/>
      <c r="X95" s="512"/>
      <c r="Y95" s="512"/>
      <c r="Z95" s="512"/>
      <c r="AA95" s="512"/>
      <c r="AB95" s="512"/>
      <c r="AC95" s="512"/>
      <c r="AD95" s="512"/>
    </row>
    <row r="96" spans="3:30" s="1" customFormat="1" x14ac:dyDescent="0.25">
      <c r="E96" s="2"/>
      <c r="G96" s="512"/>
      <c r="H96" s="512"/>
      <c r="I96" s="512"/>
      <c r="O96" s="512"/>
      <c r="P96" s="512"/>
      <c r="Q96" s="512"/>
      <c r="R96" s="512"/>
      <c r="S96" s="512"/>
      <c r="T96" s="512"/>
      <c r="U96" s="512"/>
      <c r="V96" s="512"/>
      <c r="W96" s="512"/>
      <c r="X96" s="512"/>
      <c r="Y96" s="512"/>
      <c r="Z96" s="512"/>
      <c r="AA96" s="512"/>
      <c r="AB96" s="512"/>
      <c r="AC96" s="512"/>
      <c r="AD96" s="512"/>
    </row>
    <row r="97" spans="5:30" s="1" customFormat="1" x14ac:dyDescent="0.25">
      <c r="E97" s="2"/>
      <c r="G97" s="512"/>
      <c r="H97" s="512"/>
      <c r="I97" s="512"/>
      <c r="O97" s="512"/>
      <c r="P97" s="512"/>
      <c r="Q97" s="512"/>
      <c r="R97" s="512"/>
      <c r="S97" s="512"/>
      <c r="T97" s="512"/>
      <c r="U97" s="512"/>
      <c r="V97" s="512"/>
      <c r="W97" s="512"/>
      <c r="X97" s="512"/>
      <c r="Y97" s="512"/>
      <c r="Z97" s="512"/>
      <c r="AA97" s="512"/>
      <c r="AB97" s="512"/>
      <c r="AC97" s="512"/>
      <c r="AD97" s="512"/>
    </row>
    <row r="98" spans="5:30" s="1" customFormat="1" x14ac:dyDescent="0.25">
      <c r="E98" s="2"/>
      <c r="G98" s="512"/>
      <c r="H98" s="512"/>
      <c r="I98" s="512"/>
      <c r="O98" s="512"/>
      <c r="P98" s="512"/>
      <c r="Q98" s="512"/>
      <c r="R98" s="512"/>
      <c r="S98" s="512"/>
      <c r="T98" s="512"/>
      <c r="U98" s="512"/>
      <c r="V98" s="512"/>
      <c r="W98" s="512"/>
      <c r="X98" s="512"/>
      <c r="Y98" s="512"/>
      <c r="Z98" s="512"/>
      <c r="AA98" s="512"/>
      <c r="AB98" s="512"/>
      <c r="AC98" s="512"/>
      <c r="AD98" s="512"/>
    </row>
    <row r="99" spans="5:30" s="1" customFormat="1" x14ac:dyDescent="0.25">
      <c r="E99" s="2"/>
      <c r="G99" s="512"/>
      <c r="H99" s="512"/>
      <c r="I99" s="512"/>
      <c r="O99" s="512"/>
      <c r="P99" s="512"/>
      <c r="Q99" s="512"/>
      <c r="R99" s="512"/>
      <c r="S99" s="512"/>
      <c r="T99" s="512"/>
      <c r="U99" s="512"/>
      <c r="V99" s="512"/>
      <c r="W99" s="512"/>
      <c r="X99" s="512"/>
      <c r="Y99" s="512"/>
      <c r="Z99" s="512"/>
      <c r="AA99" s="512"/>
      <c r="AB99" s="512"/>
      <c r="AC99" s="512"/>
      <c r="AD99" s="512"/>
    </row>
    <row r="100" spans="5:30" s="1" customFormat="1" x14ac:dyDescent="0.25">
      <c r="E100" s="2"/>
      <c r="G100" s="512"/>
      <c r="H100" s="512"/>
      <c r="I100" s="512"/>
      <c r="O100" s="512"/>
      <c r="P100" s="512"/>
      <c r="Q100" s="512"/>
      <c r="R100" s="512"/>
      <c r="S100" s="512"/>
      <c r="T100" s="512"/>
      <c r="U100" s="512"/>
      <c r="V100" s="512"/>
      <c r="W100" s="512"/>
      <c r="X100" s="512"/>
      <c r="Y100" s="512"/>
      <c r="Z100" s="512"/>
      <c r="AA100" s="512"/>
      <c r="AB100" s="512"/>
      <c r="AC100" s="512"/>
      <c r="AD100" s="512"/>
    </row>
    <row r="101" spans="5:30" s="1" customFormat="1" x14ac:dyDescent="0.25">
      <c r="E101" s="2"/>
      <c r="G101" s="512"/>
      <c r="H101" s="512"/>
      <c r="I101" s="512"/>
      <c r="O101" s="512"/>
      <c r="P101" s="512"/>
      <c r="Q101" s="512"/>
      <c r="R101" s="512"/>
      <c r="S101" s="512"/>
      <c r="T101" s="512"/>
      <c r="U101" s="512"/>
      <c r="V101" s="512"/>
      <c r="W101" s="512"/>
      <c r="X101" s="512"/>
      <c r="Y101" s="512"/>
      <c r="Z101" s="512"/>
      <c r="AA101" s="512"/>
      <c r="AB101" s="512"/>
      <c r="AC101" s="512"/>
      <c r="AD101" s="512"/>
    </row>
    <row r="102" spans="5:30" s="1" customFormat="1" x14ac:dyDescent="0.25">
      <c r="E102" s="2"/>
      <c r="G102" s="512"/>
      <c r="H102" s="512"/>
      <c r="I102" s="512"/>
      <c r="O102" s="512"/>
      <c r="P102" s="512"/>
      <c r="Q102" s="512"/>
      <c r="R102" s="512"/>
      <c r="S102" s="512"/>
      <c r="T102" s="512"/>
      <c r="U102" s="512"/>
      <c r="V102" s="512"/>
      <c r="W102" s="512"/>
      <c r="X102" s="512"/>
      <c r="Y102" s="512"/>
      <c r="Z102" s="512"/>
      <c r="AA102" s="512"/>
      <c r="AB102" s="512"/>
      <c r="AC102" s="512"/>
      <c r="AD102" s="512"/>
    </row>
    <row r="103" spans="5:30" s="1" customFormat="1" x14ac:dyDescent="0.25">
      <c r="E103" s="2"/>
      <c r="G103" s="512"/>
      <c r="H103" s="512"/>
      <c r="I103" s="512"/>
      <c r="O103" s="512"/>
      <c r="P103" s="512"/>
      <c r="Q103" s="512"/>
      <c r="R103" s="512"/>
      <c r="S103" s="512"/>
      <c r="T103" s="512"/>
      <c r="U103" s="512"/>
      <c r="V103" s="512"/>
      <c r="W103" s="512"/>
      <c r="X103" s="512"/>
      <c r="Y103" s="512"/>
      <c r="Z103" s="512"/>
      <c r="AA103" s="512"/>
      <c r="AB103" s="512"/>
      <c r="AC103" s="512"/>
      <c r="AD103" s="512"/>
    </row>
    <row r="104" spans="5:30" s="1" customFormat="1" x14ac:dyDescent="0.25">
      <c r="E104" s="2"/>
      <c r="G104" s="512"/>
      <c r="H104" s="512"/>
      <c r="I104" s="512"/>
      <c r="O104" s="512"/>
      <c r="P104" s="512"/>
      <c r="Q104" s="512"/>
      <c r="R104" s="512"/>
      <c r="S104" s="512"/>
      <c r="T104" s="512"/>
      <c r="U104" s="512"/>
      <c r="V104" s="512"/>
      <c r="W104" s="512"/>
      <c r="X104" s="512"/>
      <c r="Y104" s="512"/>
      <c r="Z104" s="512"/>
      <c r="AA104" s="512"/>
      <c r="AB104" s="512"/>
      <c r="AC104" s="512"/>
      <c r="AD104" s="512"/>
    </row>
    <row r="105" spans="5:30" s="1" customFormat="1" x14ac:dyDescent="0.25">
      <c r="E105" s="2"/>
      <c r="G105" s="512"/>
      <c r="H105" s="512"/>
      <c r="I105" s="512"/>
      <c r="O105" s="512"/>
      <c r="P105" s="512"/>
      <c r="Q105" s="512"/>
      <c r="R105" s="512"/>
      <c r="S105" s="512"/>
      <c r="T105" s="512"/>
      <c r="U105" s="512"/>
      <c r="V105" s="512"/>
      <c r="W105" s="512"/>
      <c r="X105" s="512"/>
      <c r="Y105" s="512"/>
      <c r="Z105" s="512"/>
      <c r="AA105" s="512"/>
      <c r="AB105" s="512"/>
      <c r="AC105" s="512"/>
      <c r="AD105" s="512"/>
    </row>
    <row r="106" spans="5:30" s="1" customFormat="1" x14ac:dyDescent="0.25">
      <c r="E106" s="2"/>
      <c r="G106" s="512"/>
      <c r="H106" s="512"/>
      <c r="I106" s="512"/>
      <c r="O106" s="512"/>
      <c r="P106" s="512"/>
      <c r="Q106" s="512"/>
      <c r="R106" s="512"/>
      <c r="S106" s="512"/>
      <c r="T106" s="512"/>
      <c r="U106" s="512"/>
      <c r="V106" s="512"/>
      <c r="W106" s="512"/>
      <c r="X106" s="512"/>
      <c r="Y106" s="512"/>
      <c r="Z106" s="512"/>
      <c r="AA106" s="512"/>
      <c r="AB106" s="512"/>
      <c r="AC106" s="512"/>
      <c r="AD106" s="512"/>
    </row>
    <row r="107" spans="5:30" s="1" customFormat="1" x14ac:dyDescent="0.25">
      <c r="E107" s="2"/>
      <c r="G107" s="512"/>
      <c r="H107" s="512"/>
      <c r="I107" s="512"/>
      <c r="O107" s="512"/>
      <c r="P107" s="512"/>
      <c r="Q107" s="512"/>
      <c r="R107" s="512"/>
      <c r="S107" s="512"/>
      <c r="T107" s="512"/>
      <c r="U107" s="512"/>
      <c r="V107" s="512"/>
      <c r="W107" s="512"/>
      <c r="X107" s="512"/>
      <c r="Y107" s="512"/>
      <c r="Z107" s="512"/>
      <c r="AA107" s="512"/>
      <c r="AB107" s="512"/>
      <c r="AC107" s="512"/>
      <c r="AD107" s="512"/>
    </row>
    <row r="108" spans="5:30" s="1" customFormat="1" x14ac:dyDescent="0.25">
      <c r="E108" s="2"/>
      <c r="G108" s="512"/>
      <c r="H108" s="512"/>
      <c r="I108" s="512"/>
      <c r="O108" s="512"/>
      <c r="P108" s="512"/>
      <c r="Q108" s="512"/>
      <c r="R108" s="512"/>
      <c r="S108" s="512"/>
      <c r="T108" s="512"/>
      <c r="U108" s="512"/>
      <c r="V108" s="512"/>
      <c r="W108" s="512"/>
      <c r="X108" s="512"/>
      <c r="Y108" s="512"/>
      <c r="Z108" s="512"/>
      <c r="AA108" s="512"/>
      <c r="AB108" s="512"/>
      <c r="AC108" s="512"/>
      <c r="AD108" s="512"/>
    </row>
    <row r="109" spans="5:30" s="1" customFormat="1" x14ac:dyDescent="0.25">
      <c r="E109" s="2"/>
      <c r="G109" s="512"/>
      <c r="H109" s="512"/>
      <c r="I109" s="512"/>
      <c r="O109" s="512"/>
      <c r="P109" s="512"/>
      <c r="Q109" s="512"/>
      <c r="R109" s="512"/>
      <c r="S109" s="512"/>
      <c r="T109" s="512"/>
      <c r="U109" s="512"/>
      <c r="V109" s="512"/>
      <c r="W109" s="512"/>
      <c r="X109" s="512"/>
      <c r="Y109" s="512"/>
      <c r="Z109" s="512"/>
      <c r="AA109" s="512"/>
      <c r="AB109" s="512"/>
      <c r="AC109" s="512"/>
      <c r="AD109" s="512"/>
    </row>
    <row r="110" spans="5:30" s="1" customFormat="1" x14ac:dyDescent="0.25">
      <c r="E110" s="2"/>
      <c r="G110" s="512"/>
      <c r="H110" s="512"/>
      <c r="I110" s="512"/>
      <c r="O110" s="512"/>
      <c r="P110" s="512"/>
      <c r="Q110" s="512"/>
      <c r="R110" s="512"/>
      <c r="S110" s="512"/>
      <c r="T110" s="512"/>
      <c r="U110" s="512"/>
      <c r="V110" s="512"/>
      <c r="W110" s="512"/>
      <c r="X110" s="512"/>
      <c r="Y110" s="512"/>
      <c r="Z110" s="512"/>
      <c r="AA110" s="512"/>
      <c r="AB110" s="512"/>
      <c r="AC110" s="512"/>
      <c r="AD110" s="512"/>
    </row>
    <row r="111" spans="5:30" s="1" customFormat="1" x14ac:dyDescent="0.25">
      <c r="E111" s="2"/>
      <c r="G111" s="512"/>
      <c r="H111" s="512"/>
      <c r="I111" s="512"/>
      <c r="O111" s="512"/>
      <c r="P111" s="512"/>
      <c r="Q111" s="512"/>
      <c r="R111" s="512"/>
      <c r="S111" s="512"/>
      <c r="T111" s="512"/>
      <c r="U111" s="512"/>
      <c r="V111" s="512"/>
      <c r="W111" s="512"/>
      <c r="X111" s="512"/>
      <c r="Y111" s="512"/>
      <c r="Z111" s="512"/>
      <c r="AA111" s="512"/>
      <c r="AB111" s="512"/>
      <c r="AC111" s="512"/>
      <c r="AD111" s="512"/>
    </row>
    <row r="112" spans="5:30" s="1" customFormat="1" x14ac:dyDescent="0.25">
      <c r="E112" s="2"/>
      <c r="G112" s="512"/>
      <c r="H112" s="512"/>
      <c r="I112" s="512"/>
      <c r="O112" s="512"/>
      <c r="P112" s="512"/>
      <c r="Q112" s="512"/>
      <c r="R112" s="512"/>
      <c r="S112" s="512"/>
      <c r="T112" s="512"/>
      <c r="U112" s="512"/>
      <c r="V112" s="512"/>
      <c r="W112" s="512"/>
      <c r="X112" s="512"/>
      <c r="Y112" s="512"/>
      <c r="Z112" s="512"/>
      <c r="AA112" s="512"/>
      <c r="AB112" s="512"/>
      <c r="AC112" s="512"/>
      <c r="AD112" s="512"/>
    </row>
    <row r="113" spans="5:30" s="1" customFormat="1" x14ac:dyDescent="0.25">
      <c r="E113" s="2"/>
      <c r="G113" s="512"/>
      <c r="H113" s="512"/>
      <c r="I113" s="512"/>
      <c r="O113" s="512"/>
      <c r="P113" s="512"/>
      <c r="Q113" s="512"/>
      <c r="R113" s="512"/>
      <c r="S113" s="512"/>
      <c r="T113" s="512"/>
      <c r="U113" s="512"/>
      <c r="V113" s="512"/>
      <c r="W113" s="512"/>
      <c r="X113" s="512"/>
      <c r="Y113" s="512"/>
      <c r="Z113" s="512"/>
      <c r="AA113" s="512"/>
      <c r="AB113" s="512"/>
      <c r="AC113" s="512"/>
      <c r="AD113" s="512"/>
    </row>
    <row r="114" spans="5:30" s="1" customFormat="1" x14ac:dyDescent="0.25">
      <c r="E114" s="2"/>
      <c r="G114" s="512"/>
      <c r="H114" s="512"/>
      <c r="I114" s="512"/>
      <c r="O114" s="512"/>
      <c r="P114" s="512"/>
      <c r="Q114" s="512"/>
      <c r="R114" s="512"/>
      <c r="S114" s="512"/>
      <c r="T114" s="512"/>
      <c r="U114" s="512"/>
      <c r="V114" s="512"/>
      <c r="W114" s="512"/>
      <c r="X114" s="512"/>
      <c r="Y114" s="512"/>
      <c r="Z114" s="512"/>
      <c r="AA114" s="512"/>
      <c r="AB114" s="512"/>
      <c r="AC114" s="512"/>
      <c r="AD114" s="512"/>
    </row>
    <row r="115" spans="5:30" s="1" customFormat="1" x14ac:dyDescent="0.25">
      <c r="E115" s="2"/>
      <c r="G115" s="512"/>
      <c r="H115" s="512"/>
      <c r="I115" s="512"/>
      <c r="O115" s="512"/>
      <c r="P115" s="512"/>
      <c r="Q115" s="512"/>
      <c r="R115" s="512"/>
      <c r="S115" s="512"/>
      <c r="T115" s="512"/>
      <c r="U115" s="512"/>
      <c r="V115" s="512"/>
      <c r="W115" s="512"/>
      <c r="X115" s="512"/>
      <c r="Y115" s="512"/>
      <c r="Z115" s="512"/>
      <c r="AA115" s="512"/>
      <c r="AB115" s="512"/>
      <c r="AC115" s="512"/>
      <c r="AD115" s="512"/>
    </row>
    <row r="116" spans="5:30" s="1" customFormat="1" x14ac:dyDescent="0.25">
      <c r="E116" s="2"/>
      <c r="G116" s="512"/>
      <c r="H116" s="512"/>
      <c r="I116" s="512"/>
      <c r="O116" s="512"/>
      <c r="P116" s="512"/>
      <c r="Q116" s="512"/>
      <c r="R116" s="512"/>
      <c r="S116" s="512"/>
      <c r="T116" s="512"/>
      <c r="U116" s="512"/>
      <c r="V116" s="512"/>
      <c r="W116" s="512"/>
      <c r="X116" s="512"/>
      <c r="Y116" s="512"/>
      <c r="Z116" s="512"/>
      <c r="AA116" s="512"/>
      <c r="AB116" s="512"/>
      <c r="AC116" s="512"/>
      <c r="AD116" s="512"/>
    </row>
    <row r="117" spans="5:30" s="1" customFormat="1" x14ac:dyDescent="0.25">
      <c r="E117" s="2"/>
      <c r="G117" s="512"/>
      <c r="H117" s="512"/>
      <c r="I117" s="512"/>
      <c r="O117" s="512"/>
      <c r="P117" s="512"/>
      <c r="Q117" s="512"/>
      <c r="R117" s="512"/>
      <c r="S117" s="512"/>
      <c r="T117" s="512"/>
      <c r="U117" s="512"/>
      <c r="V117" s="512"/>
      <c r="W117" s="512"/>
      <c r="X117" s="512"/>
      <c r="Y117" s="512"/>
      <c r="Z117" s="512"/>
      <c r="AA117" s="512"/>
      <c r="AB117" s="512"/>
      <c r="AC117" s="512"/>
      <c r="AD117" s="512"/>
    </row>
    <row r="118" spans="5:30" s="1" customFormat="1" x14ac:dyDescent="0.25">
      <c r="E118" s="2"/>
      <c r="G118" s="512"/>
      <c r="H118" s="512"/>
      <c r="I118" s="512"/>
      <c r="O118" s="512"/>
      <c r="P118" s="512"/>
      <c r="Q118" s="512"/>
      <c r="R118" s="512"/>
      <c r="S118" s="512"/>
      <c r="T118" s="512"/>
      <c r="U118" s="512"/>
      <c r="V118" s="512"/>
      <c r="W118" s="512"/>
      <c r="X118" s="512"/>
      <c r="Y118" s="512"/>
      <c r="Z118" s="512"/>
      <c r="AA118" s="512"/>
      <c r="AB118" s="512"/>
      <c r="AC118" s="512"/>
      <c r="AD118" s="512"/>
    </row>
    <row r="119" spans="5:30" s="1" customFormat="1" x14ac:dyDescent="0.25">
      <c r="E119" s="2"/>
      <c r="G119" s="512"/>
      <c r="H119" s="512"/>
      <c r="I119" s="512"/>
      <c r="O119" s="512"/>
      <c r="P119" s="512"/>
      <c r="Q119" s="512"/>
      <c r="R119" s="512"/>
      <c r="S119" s="512"/>
      <c r="T119" s="512"/>
      <c r="U119" s="512"/>
      <c r="V119" s="512"/>
      <c r="W119" s="512"/>
      <c r="X119" s="512"/>
      <c r="Y119" s="512"/>
      <c r="Z119" s="512"/>
      <c r="AA119" s="512"/>
      <c r="AB119" s="512"/>
      <c r="AC119" s="512"/>
      <c r="AD119" s="512"/>
    </row>
    <row r="120" spans="5:30" s="1" customFormat="1" x14ac:dyDescent="0.25">
      <c r="E120" s="2"/>
      <c r="G120" s="512"/>
      <c r="H120" s="512"/>
      <c r="I120" s="512"/>
      <c r="O120" s="512"/>
      <c r="P120" s="512"/>
      <c r="Q120" s="512"/>
      <c r="R120" s="512"/>
      <c r="S120" s="512"/>
      <c r="T120" s="512"/>
      <c r="U120" s="512"/>
      <c r="V120" s="512"/>
      <c r="W120" s="512"/>
      <c r="X120" s="512"/>
      <c r="Y120" s="512"/>
      <c r="Z120" s="512"/>
      <c r="AA120" s="512"/>
      <c r="AB120" s="512"/>
      <c r="AC120" s="512"/>
      <c r="AD120" s="512"/>
    </row>
    <row r="121" spans="5:30" s="1" customFormat="1" x14ac:dyDescent="0.25">
      <c r="E121" s="2"/>
      <c r="G121" s="512"/>
      <c r="H121" s="512"/>
      <c r="I121" s="512"/>
      <c r="O121" s="512"/>
      <c r="P121" s="512"/>
      <c r="Q121" s="512"/>
      <c r="R121" s="512"/>
      <c r="S121" s="512"/>
      <c r="T121" s="512"/>
      <c r="U121" s="512"/>
      <c r="V121" s="512"/>
      <c r="W121" s="512"/>
      <c r="X121" s="512"/>
      <c r="Y121" s="512"/>
      <c r="Z121" s="512"/>
      <c r="AA121" s="512"/>
      <c r="AB121" s="512"/>
      <c r="AC121" s="512"/>
      <c r="AD121" s="512"/>
    </row>
    <row r="122" spans="5:30" s="1" customFormat="1" x14ac:dyDescent="0.25">
      <c r="E122" s="2"/>
      <c r="G122" s="512"/>
      <c r="H122" s="512"/>
      <c r="I122" s="512"/>
      <c r="O122" s="512"/>
      <c r="P122" s="512"/>
      <c r="Q122" s="512"/>
      <c r="R122" s="512"/>
      <c r="S122" s="512"/>
      <c r="T122" s="512"/>
      <c r="U122" s="512"/>
      <c r="V122" s="512"/>
      <c r="W122" s="512"/>
      <c r="X122" s="512"/>
      <c r="Y122" s="512"/>
      <c r="Z122" s="512"/>
      <c r="AA122" s="512"/>
      <c r="AB122" s="512"/>
      <c r="AC122" s="512"/>
      <c r="AD122" s="512"/>
    </row>
    <row r="123" spans="5:30" s="1" customFormat="1" x14ac:dyDescent="0.25">
      <c r="E123" s="2"/>
      <c r="G123" s="512"/>
      <c r="H123" s="512"/>
      <c r="I123" s="512"/>
      <c r="O123" s="512"/>
      <c r="P123" s="512"/>
      <c r="Q123" s="512"/>
      <c r="R123" s="512"/>
      <c r="S123" s="512"/>
      <c r="T123" s="512"/>
      <c r="U123" s="512"/>
      <c r="V123" s="512"/>
      <c r="W123" s="512"/>
      <c r="X123" s="512"/>
      <c r="Y123" s="512"/>
      <c r="Z123" s="512"/>
      <c r="AA123" s="512"/>
      <c r="AB123" s="512"/>
      <c r="AC123" s="512"/>
      <c r="AD123" s="512"/>
    </row>
    <row r="124" spans="5:30" s="1" customFormat="1" x14ac:dyDescent="0.25">
      <c r="E124" s="2"/>
      <c r="G124" s="512"/>
      <c r="H124" s="512"/>
      <c r="I124" s="512"/>
      <c r="O124" s="512"/>
      <c r="P124" s="512"/>
      <c r="Q124" s="512"/>
      <c r="R124" s="512"/>
      <c r="S124" s="512"/>
      <c r="T124" s="512"/>
      <c r="U124" s="512"/>
      <c r="V124" s="512"/>
      <c r="W124" s="512"/>
      <c r="X124" s="512"/>
      <c r="Y124" s="512"/>
      <c r="Z124" s="512"/>
      <c r="AA124" s="512"/>
      <c r="AB124" s="512"/>
      <c r="AC124" s="512"/>
      <c r="AD124" s="512"/>
    </row>
    <row r="125" spans="5:30" s="1" customFormat="1" x14ac:dyDescent="0.25">
      <c r="E125" s="2"/>
      <c r="G125" s="512"/>
      <c r="H125" s="512"/>
      <c r="I125" s="512"/>
      <c r="O125" s="512"/>
      <c r="P125" s="512"/>
      <c r="Q125" s="512"/>
      <c r="R125" s="512"/>
      <c r="S125" s="512"/>
      <c r="T125" s="512"/>
      <c r="U125" s="512"/>
      <c r="V125" s="512"/>
      <c r="W125" s="512"/>
      <c r="X125" s="512"/>
      <c r="Y125" s="512"/>
      <c r="Z125" s="512"/>
      <c r="AA125" s="512"/>
      <c r="AB125" s="512"/>
      <c r="AC125" s="512"/>
      <c r="AD125" s="512"/>
    </row>
    <row r="126" spans="5:30" s="1" customFormat="1" x14ac:dyDescent="0.25">
      <c r="E126" s="2"/>
      <c r="G126" s="512"/>
      <c r="H126" s="512"/>
      <c r="I126" s="512"/>
      <c r="O126" s="512"/>
      <c r="P126" s="512"/>
      <c r="Q126" s="512"/>
      <c r="R126" s="512"/>
      <c r="S126" s="512"/>
      <c r="T126" s="512"/>
      <c r="U126" s="512"/>
      <c r="V126" s="512"/>
      <c r="W126" s="512"/>
      <c r="X126" s="512"/>
      <c r="Y126" s="512"/>
      <c r="Z126" s="512"/>
      <c r="AA126" s="512"/>
      <c r="AB126" s="512"/>
      <c r="AC126" s="512"/>
      <c r="AD126" s="512"/>
    </row>
    <row r="127" spans="5:30" s="1" customFormat="1" x14ac:dyDescent="0.25">
      <c r="E127" s="2"/>
      <c r="G127" s="512"/>
      <c r="H127" s="512"/>
      <c r="I127" s="512"/>
      <c r="O127" s="512"/>
      <c r="P127" s="512"/>
      <c r="Q127" s="512"/>
      <c r="R127" s="512"/>
      <c r="S127" s="512"/>
      <c r="T127" s="512"/>
      <c r="U127" s="512"/>
      <c r="V127" s="512"/>
      <c r="W127" s="512"/>
      <c r="X127" s="512"/>
      <c r="Y127" s="512"/>
      <c r="Z127" s="512"/>
      <c r="AA127" s="512"/>
      <c r="AB127" s="512"/>
      <c r="AC127" s="512"/>
      <c r="AD127" s="512"/>
    </row>
    <row r="128" spans="5:30" s="1" customFormat="1" x14ac:dyDescent="0.25">
      <c r="E128" s="2"/>
      <c r="G128" s="512"/>
      <c r="H128" s="512"/>
      <c r="I128" s="512"/>
      <c r="O128" s="512"/>
      <c r="P128" s="512"/>
      <c r="Q128" s="512"/>
      <c r="R128" s="512"/>
      <c r="S128" s="512"/>
      <c r="T128" s="512"/>
      <c r="U128" s="512"/>
      <c r="V128" s="512"/>
      <c r="W128" s="512"/>
      <c r="X128" s="512"/>
      <c r="Y128" s="512"/>
      <c r="Z128" s="512"/>
      <c r="AA128" s="512"/>
      <c r="AB128" s="512"/>
      <c r="AC128" s="512"/>
      <c r="AD128" s="512"/>
    </row>
    <row r="129" spans="5:30" s="1" customFormat="1" x14ac:dyDescent="0.25">
      <c r="E129" s="2"/>
      <c r="G129" s="512"/>
      <c r="H129" s="512"/>
      <c r="I129" s="512"/>
      <c r="O129" s="512"/>
      <c r="P129" s="512"/>
      <c r="Q129" s="512"/>
      <c r="R129" s="512"/>
      <c r="S129" s="512"/>
      <c r="T129" s="512"/>
      <c r="U129" s="512"/>
      <c r="V129" s="512"/>
      <c r="W129" s="512"/>
      <c r="X129" s="512"/>
      <c r="Y129" s="512"/>
      <c r="Z129" s="512"/>
      <c r="AA129" s="512"/>
      <c r="AB129" s="512"/>
      <c r="AC129" s="512"/>
      <c r="AD129" s="512"/>
    </row>
    <row r="130" spans="5:30" s="1" customFormat="1" x14ac:dyDescent="0.25">
      <c r="E130" s="2"/>
      <c r="G130" s="512"/>
      <c r="H130" s="512"/>
      <c r="I130" s="512"/>
      <c r="O130" s="512"/>
      <c r="P130" s="512"/>
      <c r="Q130" s="512"/>
      <c r="R130" s="512"/>
      <c r="S130" s="512"/>
      <c r="T130" s="512"/>
      <c r="U130" s="512"/>
      <c r="V130" s="512"/>
      <c r="W130" s="512"/>
      <c r="X130" s="512"/>
      <c r="Y130" s="512"/>
      <c r="Z130" s="512"/>
      <c r="AA130" s="512"/>
      <c r="AB130" s="512"/>
      <c r="AC130" s="512"/>
      <c r="AD130" s="512"/>
    </row>
    <row r="131" spans="5:30" s="1" customFormat="1" x14ac:dyDescent="0.25">
      <c r="E131" s="2"/>
      <c r="G131" s="512"/>
      <c r="H131" s="512"/>
      <c r="I131" s="512"/>
      <c r="O131" s="512"/>
      <c r="P131" s="512"/>
      <c r="Q131" s="512"/>
      <c r="R131" s="512"/>
      <c r="S131" s="512"/>
      <c r="T131" s="512"/>
      <c r="U131" s="512"/>
      <c r="V131" s="512"/>
      <c r="W131" s="512"/>
      <c r="X131" s="512"/>
      <c r="Y131" s="512"/>
      <c r="Z131" s="512"/>
      <c r="AA131" s="512"/>
      <c r="AB131" s="512"/>
      <c r="AC131" s="512"/>
      <c r="AD131" s="512"/>
    </row>
    <row r="132" spans="5:30" s="1" customFormat="1" x14ac:dyDescent="0.25">
      <c r="E132" s="2"/>
      <c r="G132" s="512"/>
      <c r="H132" s="512"/>
      <c r="I132" s="512"/>
      <c r="O132" s="512"/>
      <c r="P132" s="512"/>
      <c r="Q132" s="512"/>
      <c r="R132" s="512"/>
      <c r="S132" s="512"/>
      <c r="T132" s="512"/>
      <c r="U132" s="512"/>
      <c r="V132" s="512"/>
      <c r="W132" s="512"/>
      <c r="X132" s="512"/>
      <c r="Y132" s="512"/>
      <c r="Z132" s="512"/>
      <c r="AA132" s="512"/>
      <c r="AB132" s="512"/>
      <c r="AC132" s="512"/>
      <c r="AD132" s="512"/>
    </row>
    <row r="133" spans="5:30" s="1" customFormat="1" x14ac:dyDescent="0.25">
      <c r="E133" s="2"/>
      <c r="G133" s="512"/>
      <c r="H133" s="512"/>
      <c r="I133" s="512"/>
      <c r="O133" s="512"/>
      <c r="P133" s="512"/>
      <c r="Q133" s="512"/>
      <c r="R133" s="512"/>
      <c r="S133" s="512"/>
      <c r="T133" s="512"/>
      <c r="U133" s="512"/>
      <c r="V133" s="512"/>
      <c r="W133" s="512"/>
      <c r="X133" s="512"/>
      <c r="Y133" s="512"/>
      <c r="Z133" s="512"/>
      <c r="AA133" s="512"/>
      <c r="AB133" s="512"/>
      <c r="AC133" s="512"/>
      <c r="AD133" s="512"/>
    </row>
    <row r="134" spans="5:30" s="1" customFormat="1" x14ac:dyDescent="0.25">
      <c r="E134" s="2"/>
      <c r="G134" s="512"/>
      <c r="H134" s="512"/>
      <c r="I134" s="512"/>
      <c r="O134" s="512"/>
      <c r="P134" s="512"/>
      <c r="Q134" s="512"/>
      <c r="R134" s="512"/>
      <c r="S134" s="512"/>
      <c r="T134" s="512"/>
      <c r="U134" s="512"/>
      <c r="V134" s="512"/>
      <c r="W134" s="512"/>
      <c r="X134" s="512"/>
      <c r="Y134" s="512"/>
      <c r="Z134" s="512"/>
      <c r="AA134" s="512"/>
      <c r="AB134" s="512"/>
      <c r="AC134" s="512"/>
      <c r="AD134" s="512"/>
    </row>
    <row r="135" spans="5:30" s="1" customFormat="1" x14ac:dyDescent="0.25">
      <c r="E135" s="2"/>
      <c r="G135" s="512"/>
      <c r="H135" s="512"/>
      <c r="I135" s="512"/>
      <c r="O135" s="512"/>
      <c r="P135" s="512"/>
      <c r="Q135" s="512"/>
      <c r="R135" s="512"/>
      <c r="S135" s="512"/>
      <c r="T135" s="512"/>
      <c r="U135" s="512"/>
      <c r="V135" s="512"/>
      <c r="W135" s="512"/>
      <c r="X135" s="512"/>
      <c r="Y135" s="512"/>
      <c r="Z135" s="512"/>
      <c r="AA135" s="512"/>
      <c r="AB135" s="512"/>
      <c r="AC135" s="512"/>
      <c r="AD135" s="512"/>
    </row>
    <row r="136" spans="5:30" s="1" customFormat="1" x14ac:dyDescent="0.25">
      <c r="E136" s="2"/>
      <c r="G136" s="512"/>
      <c r="H136" s="512"/>
      <c r="I136" s="512"/>
      <c r="O136" s="512"/>
      <c r="P136" s="512"/>
      <c r="Q136" s="512"/>
      <c r="R136" s="512"/>
      <c r="S136" s="512"/>
      <c r="T136" s="512"/>
      <c r="U136" s="512"/>
      <c r="V136" s="512"/>
      <c r="W136" s="512"/>
      <c r="X136" s="512"/>
      <c r="Y136" s="512"/>
      <c r="Z136" s="512"/>
      <c r="AA136" s="512"/>
      <c r="AB136" s="512"/>
      <c r="AC136" s="512"/>
      <c r="AD136" s="512"/>
    </row>
    <row r="137" spans="5:30" s="1" customFormat="1" x14ac:dyDescent="0.25">
      <c r="E137" s="2"/>
      <c r="G137" s="512"/>
      <c r="H137" s="512"/>
      <c r="I137" s="512"/>
      <c r="O137" s="512"/>
      <c r="P137" s="512"/>
      <c r="Q137" s="512"/>
      <c r="R137" s="512"/>
      <c r="S137" s="512"/>
      <c r="T137" s="512"/>
      <c r="U137" s="512"/>
      <c r="V137" s="512"/>
      <c r="W137" s="512"/>
      <c r="X137" s="512"/>
      <c r="Y137" s="512"/>
      <c r="Z137" s="512"/>
      <c r="AA137" s="512"/>
      <c r="AB137" s="512"/>
      <c r="AC137" s="512"/>
      <c r="AD137" s="512"/>
    </row>
    <row r="138" spans="5:30" s="1" customFormat="1" x14ac:dyDescent="0.25">
      <c r="E138" s="2"/>
      <c r="G138" s="512"/>
      <c r="H138" s="512"/>
      <c r="I138" s="512"/>
      <c r="O138" s="512"/>
      <c r="P138" s="512"/>
      <c r="Q138" s="512"/>
      <c r="R138" s="512"/>
      <c r="S138" s="512"/>
      <c r="T138" s="512"/>
      <c r="U138" s="512"/>
      <c r="V138" s="512"/>
      <c r="W138" s="512"/>
      <c r="X138" s="512"/>
      <c r="Y138" s="512"/>
      <c r="Z138" s="512"/>
      <c r="AA138" s="512"/>
      <c r="AB138" s="512"/>
      <c r="AC138" s="512"/>
      <c r="AD138" s="512"/>
    </row>
    <row r="139" spans="5:30" s="1" customFormat="1" x14ac:dyDescent="0.25">
      <c r="E139" s="2"/>
      <c r="G139" s="512"/>
      <c r="H139" s="512"/>
      <c r="I139" s="512"/>
      <c r="O139" s="512"/>
      <c r="P139" s="512"/>
      <c r="Q139" s="512"/>
      <c r="R139" s="512"/>
      <c r="S139" s="512"/>
      <c r="T139" s="512"/>
      <c r="U139" s="512"/>
      <c r="V139" s="512"/>
      <c r="W139" s="512"/>
      <c r="X139" s="512"/>
      <c r="Y139" s="512"/>
      <c r="Z139" s="512"/>
      <c r="AA139" s="512"/>
      <c r="AB139" s="512"/>
      <c r="AC139" s="512"/>
      <c r="AD139" s="512"/>
    </row>
    <row r="140" spans="5:30" s="1" customFormat="1" x14ac:dyDescent="0.25">
      <c r="E140" s="2"/>
      <c r="G140" s="512"/>
      <c r="H140" s="512"/>
      <c r="I140" s="512"/>
      <c r="O140" s="512"/>
      <c r="P140" s="512"/>
      <c r="Q140" s="512"/>
      <c r="R140" s="512"/>
      <c r="S140" s="512"/>
      <c r="T140" s="512"/>
      <c r="U140" s="512"/>
      <c r="V140" s="512"/>
      <c r="W140" s="512"/>
      <c r="X140" s="512"/>
      <c r="Y140" s="512"/>
      <c r="Z140" s="512"/>
      <c r="AA140" s="512"/>
      <c r="AB140" s="512"/>
      <c r="AC140" s="512"/>
      <c r="AD140" s="512"/>
    </row>
    <row r="141" spans="5:30" s="1" customFormat="1" x14ac:dyDescent="0.25">
      <c r="E141" s="2"/>
      <c r="G141" s="512"/>
      <c r="H141" s="512"/>
      <c r="I141" s="512"/>
      <c r="O141" s="512"/>
      <c r="P141" s="512"/>
      <c r="Q141" s="512"/>
      <c r="R141" s="512"/>
      <c r="S141" s="512"/>
      <c r="T141" s="512"/>
      <c r="U141" s="512"/>
      <c r="V141" s="512"/>
      <c r="W141" s="512"/>
      <c r="X141" s="512"/>
      <c r="Y141" s="512"/>
      <c r="Z141" s="512"/>
      <c r="AA141" s="512"/>
      <c r="AB141" s="512"/>
      <c r="AC141" s="512"/>
      <c r="AD141" s="512"/>
    </row>
    <row r="142" spans="5:30" s="1" customFormat="1" x14ac:dyDescent="0.25">
      <c r="E142" s="2"/>
      <c r="G142" s="512"/>
      <c r="H142" s="512"/>
      <c r="I142" s="512"/>
      <c r="O142" s="512"/>
      <c r="P142" s="512"/>
      <c r="Q142" s="512"/>
      <c r="R142" s="512"/>
      <c r="S142" s="512"/>
      <c r="T142" s="512"/>
      <c r="U142" s="512"/>
      <c r="V142" s="512"/>
      <c r="W142" s="512"/>
      <c r="X142" s="512"/>
      <c r="Y142" s="512"/>
      <c r="Z142" s="512"/>
      <c r="AA142" s="512"/>
      <c r="AB142" s="512"/>
      <c r="AC142" s="512"/>
      <c r="AD142" s="512"/>
    </row>
    <row r="143" spans="5:30" s="1" customFormat="1" x14ac:dyDescent="0.25">
      <c r="E143" s="2"/>
      <c r="G143" s="512"/>
      <c r="H143" s="512"/>
      <c r="I143" s="512"/>
      <c r="O143" s="512"/>
      <c r="P143" s="512"/>
      <c r="Q143" s="512"/>
      <c r="R143" s="512"/>
      <c r="S143" s="512"/>
      <c r="T143" s="512"/>
      <c r="U143" s="512"/>
      <c r="V143" s="512"/>
      <c r="W143" s="512"/>
      <c r="X143" s="512"/>
      <c r="Y143" s="512"/>
      <c r="Z143" s="512"/>
      <c r="AA143" s="512"/>
      <c r="AB143" s="512"/>
      <c r="AC143" s="512"/>
      <c r="AD143" s="512"/>
    </row>
    <row r="144" spans="5:30" s="1" customFormat="1" x14ac:dyDescent="0.25">
      <c r="E144" s="2"/>
      <c r="G144" s="512"/>
      <c r="H144" s="512"/>
      <c r="I144" s="512"/>
      <c r="O144" s="512"/>
      <c r="P144" s="512"/>
      <c r="Q144" s="512"/>
      <c r="R144" s="512"/>
      <c r="S144" s="512"/>
      <c r="T144" s="512"/>
      <c r="U144" s="512"/>
      <c r="V144" s="512"/>
      <c r="W144" s="512"/>
      <c r="X144" s="512"/>
      <c r="Y144" s="512"/>
      <c r="Z144" s="512"/>
      <c r="AA144" s="512"/>
      <c r="AB144" s="512"/>
      <c r="AC144" s="512"/>
      <c r="AD144" s="512"/>
    </row>
    <row r="145" spans="5:30" s="1" customFormat="1" x14ac:dyDescent="0.25">
      <c r="E145" s="2"/>
      <c r="G145" s="512"/>
      <c r="H145" s="512"/>
      <c r="I145" s="512"/>
      <c r="O145" s="512"/>
      <c r="P145" s="512"/>
      <c r="Q145" s="512"/>
      <c r="R145" s="512"/>
      <c r="S145" s="512"/>
      <c r="T145" s="512"/>
      <c r="U145" s="512"/>
      <c r="V145" s="512"/>
      <c r="W145" s="512"/>
      <c r="X145" s="512"/>
      <c r="Y145" s="512"/>
      <c r="Z145" s="512"/>
      <c r="AA145" s="512"/>
      <c r="AB145" s="512"/>
      <c r="AC145" s="512"/>
      <c r="AD145" s="512"/>
    </row>
    <row r="146" spans="5:30" s="1" customFormat="1" x14ac:dyDescent="0.25">
      <c r="E146" s="2"/>
      <c r="G146" s="512"/>
      <c r="H146" s="512"/>
      <c r="I146" s="512"/>
      <c r="O146" s="512"/>
      <c r="P146" s="512"/>
      <c r="Q146" s="512"/>
      <c r="R146" s="512"/>
      <c r="S146" s="512"/>
      <c r="T146" s="512"/>
      <c r="U146" s="512"/>
      <c r="V146" s="512"/>
      <c r="W146" s="512"/>
      <c r="X146" s="512"/>
      <c r="Y146" s="512"/>
      <c r="Z146" s="512"/>
      <c r="AA146" s="512"/>
      <c r="AB146" s="512"/>
      <c r="AC146" s="512"/>
      <c r="AD146" s="512"/>
    </row>
    <row r="147" spans="5:30" s="1" customFormat="1" x14ac:dyDescent="0.25">
      <c r="E147" s="2"/>
      <c r="G147" s="512"/>
      <c r="H147" s="512"/>
      <c r="I147" s="512"/>
      <c r="O147" s="512"/>
      <c r="P147" s="512"/>
      <c r="Q147" s="512"/>
      <c r="R147" s="512"/>
      <c r="S147" s="512"/>
      <c r="T147" s="512"/>
      <c r="U147" s="512"/>
      <c r="V147" s="512"/>
      <c r="W147" s="512"/>
      <c r="X147" s="512"/>
      <c r="Y147" s="512"/>
      <c r="Z147" s="512"/>
      <c r="AA147" s="512"/>
      <c r="AB147" s="512"/>
      <c r="AC147" s="512"/>
      <c r="AD147" s="512"/>
    </row>
    <row r="148" spans="5:30" s="1" customFormat="1" x14ac:dyDescent="0.25">
      <c r="E148" s="2"/>
      <c r="G148" s="512"/>
      <c r="H148" s="512"/>
      <c r="I148" s="512"/>
      <c r="O148" s="512"/>
      <c r="P148" s="512"/>
      <c r="Q148" s="512"/>
      <c r="R148" s="512"/>
      <c r="S148" s="512"/>
      <c r="T148" s="512"/>
      <c r="U148" s="512"/>
      <c r="V148" s="512"/>
      <c r="W148" s="512"/>
      <c r="X148" s="512"/>
      <c r="Y148" s="512"/>
      <c r="Z148" s="512"/>
      <c r="AA148" s="512"/>
      <c r="AB148" s="512"/>
      <c r="AC148" s="512"/>
      <c r="AD148" s="512"/>
    </row>
    <row r="149" spans="5:30" s="1" customFormat="1" x14ac:dyDescent="0.25">
      <c r="E149" s="2"/>
      <c r="G149" s="512"/>
      <c r="H149" s="512"/>
      <c r="I149" s="512"/>
      <c r="O149" s="512"/>
      <c r="P149" s="512"/>
      <c r="Q149" s="512"/>
      <c r="R149" s="512"/>
      <c r="S149" s="512"/>
      <c r="T149" s="512"/>
      <c r="U149" s="512"/>
      <c r="V149" s="512"/>
      <c r="W149" s="512"/>
      <c r="X149" s="512"/>
      <c r="Y149" s="512"/>
      <c r="Z149" s="512"/>
      <c r="AA149" s="512"/>
      <c r="AB149" s="512"/>
      <c r="AC149" s="512"/>
      <c r="AD149" s="512"/>
    </row>
    <row r="150" spans="5:30" s="1" customFormat="1" x14ac:dyDescent="0.25">
      <c r="E150" s="2"/>
      <c r="G150" s="512"/>
      <c r="H150" s="512"/>
      <c r="I150" s="512"/>
      <c r="O150" s="512"/>
      <c r="P150" s="512"/>
      <c r="Q150" s="512"/>
      <c r="R150" s="512"/>
      <c r="S150" s="512"/>
      <c r="T150" s="512"/>
      <c r="U150" s="512"/>
      <c r="V150" s="512"/>
      <c r="W150" s="512"/>
      <c r="X150" s="512"/>
      <c r="Y150" s="512"/>
      <c r="Z150" s="512"/>
      <c r="AA150" s="512"/>
      <c r="AB150" s="512"/>
      <c r="AC150" s="512"/>
      <c r="AD150" s="512"/>
    </row>
    <row r="151" spans="5:30" s="1" customFormat="1" x14ac:dyDescent="0.25">
      <c r="E151" s="2"/>
      <c r="G151" s="512"/>
      <c r="H151" s="512"/>
      <c r="I151" s="512"/>
      <c r="O151" s="512"/>
      <c r="P151" s="512"/>
      <c r="Q151" s="512"/>
      <c r="R151" s="512"/>
      <c r="S151" s="512"/>
      <c r="T151" s="512"/>
      <c r="U151" s="512"/>
      <c r="V151" s="512"/>
      <c r="W151" s="512"/>
      <c r="X151" s="512"/>
      <c r="Y151" s="512"/>
      <c r="Z151" s="512"/>
      <c r="AA151" s="512"/>
      <c r="AB151" s="512"/>
      <c r="AC151" s="512"/>
      <c r="AD151" s="512"/>
    </row>
    <row r="152" spans="5:30" s="1" customFormat="1" x14ac:dyDescent="0.25">
      <c r="E152" s="2"/>
      <c r="G152" s="512"/>
      <c r="H152" s="512"/>
      <c r="I152" s="512"/>
      <c r="O152" s="512"/>
      <c r="P152" s="512"/>
      <c r="Q152" s="512"/>
      <c r="R152" s="512"/>
      <c r="S152" s="512"/>
      <c r="T152" s="512"/>
      <c r="U152" s="512"/>
      <c r="V152" s="512"/>
      <c r="W152" s="512"/>
      <c r="X152" s="512"/>
      <c r="Y152" s="512"/>
      <c r="Z152" s="512"/>
      <c r="AA152" s="512"/>
      <c r="AB152" s="512"/>
      <c r="AC152" s="512"/>
      <c r="AD152" s="512"/>
    </row>
    <row r="153" spans="5:30" s="1" customFormat="1" x14ac:dyDescent="0.25">
      <c r="E153" s="2"/>
      <c r="G153" s="512"/>
      <c r="H153" s="512"/>
      <c r="I153" s="512"/>
      <c r="O153" s="512"/>
      <c r="P153" s="512"/>
      <c r="Q153" s="512"/>
      <c r="R153" s="512"/>
      <c r="S153" s="512"/>
      <c r="T153" s="512"/>
      <c r="U153" s="512"/>
      <c r="V153" s="512"/>
      <c r="W153" s="512"/>
      <c r="X153" s="512"/>
      <c r="Y153" s="512"/>
      <c r="Z153" s="512"/>
      <c r="AA153" s="512"/>
      <c r="AB153" s="512"/>
      <c r="AC153" s="512"/>
      <c r="AD153" s="512"/>
    </row>
    <row r="154" spans="5:30" s="1" customFormat="1" x14ac:dyDescent="0.25">
      <c r="E154" s="2"/>
      <c r="G154" s="512"/>
      <c r="H154" s="512"/>
      <c r="I154" s="512"/>
      <c r="O154" s="512"/>
      <c r="P154" s="512"/>
      <c r="Q154" s="512"/>
      <c r="R154" s="512"/>
      <c r="S154" s="512"/>
      <c r="T154" s="512"/>
      <c r="U154" s="512"/>
      <c r="V154" s="512"/>
      <c r="W154" s="512"/>
      <c r="X154" s="512"/>
      <c r="Y154" s="512"/>
      <c r="Z154" s="512"/>
      <c r="AA154" s="512"/>
      <c r="AB154" s="512"/>
      <c r="AC154" s="512"/>
      <c r="AD154" s="512"/>
    </row>
    <row r="155" spans="5:30" s="1" customFormat="1" x14ac:dyDescent="0.25">
      <c r="E155" s="2"/>
      <c r="G155" s="512"/>
      <c r="H155" s="512"/>
      <c r="I155" s="512"/>
      <c r="O155" s="512"/>
      <c r="P155" s="512"/>
      <c r="Q155" s="512"/>
      <c r="R155" s="512"/>
      <c r="S155" s="512"/>
      <c r="T155" s="512"/>
      <c r="U155" s="512"/>
      <c r="V155" s="512"/>
      <c r="W155" s="512"/>
      <c r="X155" s="512"/>
      <c r="Y155" s="512"/>
      <c r="Z155" s="512"/>
      <c r="AA155" s="512"/>
      <c r="AB155" s="512"/>
      <c r="AC155" s="512"/>
      <c r="AD155" s="512"/>
    </row>
    <row r="156" spans="5:30" s="1" customFormat="1" x14ac:dyDescent="0.25">
      <c r="E156" s="2"/>
      <c r="G156" s="512"/>
      <c r="H156" s="512"/>
      <c r="I156" s="512"/>
      <c r="O156" s="512"/>
      <c r="P156" s="512"/>
      <c r="Q156" s="512"/>
      <c r="R156" s="512"/>
      <c r="S156" s="512"/>
      <c r="T156" s="512"/>
      <c r="U156" s="512"/>
      <c r="V156" s="512"/>
      <c r="W156" s="512"/>
      <c r="X156" s="512"/>
      <c r="Y156" s="512"/>
      <c r="Z156" s="512"/>
      <c r="AA156" s="512"/>
      <c r="AB156" s="512"/>
      <c r="AC156" s="512"/>
      <c r="AD156" s="512"/>
    </row>
    <row r="157" spans="5:30" s="1" customFormat="1" x14ac:dyDescent="0.25">
      <c r="E157" s="2"/>
      <c r="G157" s="512"/>
      <c r="H157" s="512"/>
      <c r="I157" s="512"/>
      <c r="O157" s="512"/>
      <c r="P157" s="512"/>
      <c r="Q157" s="512"/>
      <c r="R157" s="512"/>
      <c r="S157" s="512"/>
      <c r="T157" s="512"/>
      <c r="U157" s="512"/>
      <c r="V157" s="512"/>
      <c r="W157" s="512"/>
      <c r="X157" s="512"/>
      <c r="Y157" s="512"/>
      <c r="Z157" s="512"/>
      <c r="AA157" s="512"/>
      <c r="AB157" s="512"/>
      <c r="AC157" s="512"/>
      <c r="AD157" s="512"/>
    </row>
    <row r="158" spans="5:30" s="1" customFormat="1" x14ac:dyDescent="0.25">
      <c r="E158" s="2"/>
      <c r="G158" s="512"/>
      <c r="H158" s="512"/>
      <c r="I158" s="512"/>
      <c r="O158" s="512"/>
      <c r="P158" s="512"/>
      <c r="Q158" s="512"/>
      <c r="R158" s="512"/>
      <c r="S158" s="512"/>
      <c r="T158" s="512"/>
      <c r="U158" s="512"/>
      <c r="V158" s="512"/>
      <c r="W158" s="512"/>
      <c r="X158" s="512"/>
      <c r="Y158" s="512"/>
      <c r="Z158" s="512"/>
      <c r="AA158" s="512"/>
      <c r="AB158" s="512"/>
      <c r="AC158" s="512"/>
      <c r="AD158" s="512"/>
    </row>
    <row r="159" spans="5:30" s="1" customFormat="1" x14ac:dyDescent="0.25">
      <c r="E159" s="2"/>
      <c r="G159" s="512"/>
      <c r="H159" s="512"/>
      <c r="I159" s="512"/>
      <c r="O159" s="512"/>
      <c r="P159" s="512"/>
      <c r="Q159" s="512"/>
      <c r="R159" s="512"/>
      <c r="S159" s="512"/>
      <c r="T159" s="512"/>
      <c r="U159" s="512"/>
      <c r="V159" s="512"/>
      <c r="W159" s="512"/>
      <c r="X159" s="512"/>
      <c r="Y159" s="512"/>
      <c r="Z159" s="512"/>
      <c r="AA159" s="512"/>
      <c r="AB159" s="512"/>
      <c r="AC159" s="512"/>
      <c r="AD159" s="512"/>
    </row>
    <row r="160" spans="5:30" s="1" customFormat="1" x14ac:dyDescent="0.25">
      <c r="E160" s="2"/>
      <c r="G160" s="512"/>
      <c r="H160" s="512"/>
      <c r="I160" s="512"/>
      <c r="O160" s="512"/>
      <c r="P160" s="512"/>
      <c r="Q160" s="512"/>
      <c r="R160" s="512"/>
      <c r="S160" s="512"/>
      <c r="T160" s="512"/>
      <c r="U160" s="512"/>
      <c r="V160" s="512"/>
      <c r="W160" s="512"/>
      <c r="X160" s="512"/>
      <c r="Y160" s="512"/>
      <c r="Z160" s="512"/>
      <c r="AA160" s="512"/>
      <c r="AB160" s="512"/>
      <c r="AC160" s="512"/>
      <c r="AD160" s="512"/>
    </row>
    <row r="161" spans="5:30" s="1" customFormat="1" x14ac:dyDescent="0.25">
      <c r="E161" s="2"/>
      <c r="G161" s="512"/>
      <c r="H161" s="512"/>
      <c r="I161" s="512"/>
      <c r="O161" s="512"/>
      <c r="P161" s="512"/>
      <c r="Q161" s="512"/>
      <c r="R161" s="512"/>
      <c r="S161" s="512"/>
      <c r="T161" s="512"/>
      <c r="U161" s="512"/>
      <c r="V161" s="512"/>
      <c r="W161" s="512"/>
      <c r="X161" s="512"/>
      <c r="Y161" s="512"/>
      <c r="Z161" s="512"/>
      <c r="AA161" s="512"/>
      <c r="AB161" s="512"/>
      <c r="AC161" s="512"/>
      <c r="AD161" s="512"/>
    </row>
    <row r="162" spans="5:30" s="1" customFormat="1" x14ac:dyDescent="0.25">
      <c r="E162" s="2"/>
      <c r="G162" s="512"/>
      <c r="H162" s="512"/>
      <c r="I162" s="512"/>
      <c r="O162" s="512"/>
      <c r="P162" s="512"/>
      <c r="Q162" s="512"/>
      <c r="R162" s="512"/>
      <c r="S162" s="512"/>
      <c r="T162" s="512"/>
      <c r="U162" s="512"/>
      <c r="V162" s="512"/>
      <c r="W162" s="512"/>
      <c r="X162" s="512"/>
      <c r="Y162" s="512"/>
      <c r="Z162" s="512"/>
      <c r="AA162" s="512"/>
      <c r="AB162" s="512"/>
      <c r="AC162" s="512"/>
      <c r="AD162" s="512"/>
    </row>
    <row r="163" spans="5:30" s="1" customFormat="1" x14ac:dyDescent="0.25">
      <c r="E163" s="2"/>
      <c r="G163" s="512"/>
      <c r="H163" s="512"/>
      <c r="I163" s="512"/>
      <c r="O163" s="512"/>
      <c r="P163" s="512"/>
      <c r="Q163" s="512"/>
      <c r="R163" s="512"/>
      <c r="S163" s="512"/>
      <c r="T163" s="512"/>
      <c r="U163" s="512"/>
      <c r="V163" s="512"/>
      <c r="W163" s="512"/>
      <c r="X163" s="512"/>
      <c r="Y163" s="512"/>
      <c r="Z163" s="512"/>
      <c r="AA163" s="512"/>
      <c r="AB163" s="512"/>
      <c r="AC163" s="512"/>
      <c r="AD163" s="512"/>
    </row>
    <row r="164" spans="5:30" s="1" customFormat="1" x14ac:dyDescent="0.25">
      <c r="E164" s="2"/>
      <c r="G164" s="512"/>
      <c r="H164" s="512"/>
      <c r="I164" s="512"/>
      <c r="O164" s="512"/>
      <c r="P164" s="512"/>
      <c r="Q164" s="512"/>
      <c r="R164" s="512"/>
      <c r="S164" s="512"/>
      <c r="T164" s="512"/>
      <c r="U164" s="512"/>
      <c r="V164" s="512"/>
      <c r="W164" s="512"/>
      <c r="X164" s="512"/>
      <c r="Y164" s="512"/>
      <c r="Z164" s="512"/>
      <c r="AA164" s="512"/>
      <c r="AB164" s="512"/>
      <c r="AC164" s="512"/>
      <c r="AD164" s="512"/>
    </row>
    <row r="165" spans="5:30" s="1" customFormat="1" x14ac:dyDescent="0.25">
      <c r="E165" s="2"/>
      <c r="G165" s="512"/>
      <c r="H165" s="512"/>
      <c r="I165" s="512"/>
      <c r="O165" s="512"/>
      <c r="P165" s="512"/>
      <c r="Q165" s="512"/>
      <c r="R165" s="512"/>
      <c r="S165" s="512"/>
      <c r="T165" s="512"/>
      <c r="U165" s="512"/>
      <c r="V165" s="512"/>
      <c r="W165" s="512"/>
      <c r="X165" s="512"/>
      <c r="Y165" s="512"/>
      <c r="Z165" s="512"/>
      <c r="AA165" s="512"/>
      <c r="AB165" s="512"/>
      <c r="AC165" s="512"/>
      <c r="AD165" s="512"/>
    </row>
    <row r="166" spans="5:30" s="1" customFormat="1" x14ac:dyDescent="0.25">
      <c r="E166" s="2"/>
      <c r="G166" s="512"/>
      <c r="H166" s="512"/>
      <c r="I166" s="512"/>
      <c r="O166" s="512"/>
      <c r="P166" s="512"/>
      <c r="Q166" s="512"/>
      <c r="R166" s="512"/>
      <c r="S166" s="512"/>
      <c r="T166" s="512"/>
      <c r="U166" s="512"/>
      <c r="V166" s="512"/>
      <c r="W166" s="512"/>
      <c r="X166" s="512"/>
      <c r="Y166" s="512"/>
      <c r="Z166" s="512"/>
      <c r="AA166" s="512"/>
      <c r="AB166" s="512"/>
      <c r="AC166" s="512"/>
      <c r="AD166" s="512"/>
    </row>
    <row r="167" spans="5:30" s="1" customFormat="1" x14ac:dyDescent="0.25">
      <c r="E167" s="2"/>
      <c r="G167" s="512"/>
      <c r="H167" s="512"/>
      <c r="I167" s="512"/>
      <c r="O167" s="512"/>
      <c r="P167" s="512"/>
      <c r="Q167" s="512"/>
      <c r="R167" s="512"/>
      <c r="S167" s="512"/>
      <c r="T167" s="512"/>
      <c r="U167" s="512"/>
      <c r="V167" s="512"/>
      <c r="W167" s="512"/>
      <c r="X167" s="512"/>
      <c r="Y167" s="512"/>
      <c r="Z167" s="512"/>
      <c r="AA167" s="512"/>
      <c r="AB167" s="512"/>
      <c r="AC167" s="512"/>
      <c r="AD167" s="512"/>
    </row>
    <row r="168" spans="5:30" s="1" customFormat="1" x14ac:dyDescent="0.25">
      <c r="E168" s="2"/>
      <c r="G168" s="512"/>
      <c r="H168" s="512"/>
      <c r="I168" s="512"/>
      <c r="O168" s="512"/>
      <c r="P168" s="512"/>
      <c r="Q168" s="512"/>
      <c r="R168" s="512"/>
      <c r="S168" s="512"/>
      <c r="T168" s="512"/>
      <c r="U168" s="512"/>
      <c r="V168" s="512"/>
      <c r="W168" s="512"/>
      <c r="X168" s="512"/>
      <c r="Y168" s="512"/>
      <c r="Z168" s="512"/>
      <c r="AA168" s="512"/>
      <c r="AB168" s="512"/>
      <c r="AC168" s="512"/>
      <c r="AD168" s="512"/>
    </row>
    <row r="169" spans="5:30" s="1" customFormat="1" x14ac:dyDescent="0.25">
      <c r="E169" s="2"/>
      <c r="G169" s="512"/>
      <c r="H169" s="512"/>
      <c r="I169" s="512"/>
      <c r="O169" s="512"/>
      <c r="P169" s="512"/>
      <c r="Q169" s="512"/>
      <c r="R169" s="512"/>
      <c r="S169" s="512"/>
      <c r="T169" s="512"/>
      <c r="U169" s="512"/>
      <c r="V169" s="512"/>
      <c r="W169" s="512"/>
      <c r="X169" s="512"/>
      <c r="Y169" s="512"/>
      <c r="Z169" s="512"/>
      <c r="AA169" s="512"/>
      <c r="AB169" s="512"/>
      <c r="AC169" s="512"/>
      <c r="AD169" s="512"/>
    </row>
    <row r="170" spans="5:30" s="1" customFormat="1" x14ac:dyDescent="0.25">
      <c r="E170" s="2"/>
      <c r="G170" s="512"/>
      <c r="H170" s="512"/>
      <c r="I170" s="512"/>
      <c r="O170" s="512"/>
      <c r="P170" s="512"/>
      <c r="Q170" s="512"/>
      <c r="R170" s="512"/>
      <c r="S170" s="512"/>
      <c r="T170" s="512"/>
      <c r="U170" s="512"/>
      <c r="V170" s="512"/>
      <c r="W170" s="512"/>
      <c r="X170" s="512"/>
      <c r="Y170" s="512"/>
      <c r="Z170" s="512"/>
      <c r="AA170" s="512"/>
      <c r="AB170" s="512"/>
      <c r="AC170" s="512"/>
      <c r="AD170" s="512"/>
    </row>
    <row r="171" spans="5:30" s="1" customFormat="1" x14ac:dyDescent="0.25">
      <c r="E171" s="2"/>
      <c r="G171" s="512"/>
      <c r="H171" s="512"/>
      <c r="I171" s="512"/>
      <c r="O171" s="512"/>
      <c r="P171" s="512"/>
      <c r="Q171" s="512"/>
      <c r="R171" s="512"/>
      <c r="S171" s="512"/>
      <c r="T171" s="512"/>
      <c r="U171" s="512"/>
      <c r="V171" s="512"/>
      <c r="W171" s="512"/>
      <c r="X171" s="512"/>
      <c r="Y171" s="512"/>
      <c r="Z171" s="512"/>
      <c r="AA171" s="512"/>
      <c r="AB171" s="512"/>
      <c r="AC171" s="512"/>
      <c r="AD171" s="512"/>
    </row>
    <row r="172" spans="5:30" s="1" customFormat="1" x14ac:dyDescent="0.25">
      <c r="E172" s="2"/>
      <c r="G172" s="512"/>
      <c r="H172" s="512"/>
      <c r="I172" s="512"/>
      <c r="O172" s="512"/>
      <c r="P172" s="512"/>
      <c r="Q172" s="512"/>
      <c r="R172" s="512"/>
      <c r="S172" s="512"/>
      <c r="T172" s="512"/>
      <c r="U172" s="512"/>
      <c r="V172" s="512"/>
      <c r="W172" s="512"/>
      <c r="X172" s="512"/>
      <c r="Y172" s="512"/>
      <c r="Z172" s="512"/>
      <c r="AA172" s="512"/>
      <c r="AB172" s="512"/>
      <c r="AC172" s="512"/>
      <c r="AD172" s="512"/>
    </row>
    <row r="173" spans="5:30" s="1" customFormat="1" x14ac:dyDescent="0.25">
      <c r="E173" s="2"/>
      <c r="G173" s="512"/>
      <c r="H173" s="512"/>
      <c r="I173" s="512"/>
      <c r="O173" s="512"/>
      <c r="P173" s="512"/>
      <c r="Q173" s="512"/>
      <c r="R173" s="512"/>
      <c r="S173" s="512"/>
      <c r="T173" s="512"/>
      <c r="U173" s="512"/>
      <c r="V173" s="512"/>
      <c r="W173" s="512"/>
      <c r="X173" s="512"/>
      <c r="Y173" s="512"/>
      <c r="Z173" s="512"/>
      <c r="AA173" s="512"/>
      <c r="AB173" s="512"/>
      <c r="AC173" s="512"/>
      <c r="AD173" s="512"/>
    </row>
    <row r="174" spans="5:30" s="1" customFormat="1" x14ac:dyDescent="0.25">
      <c r="E174" s="2"/>
      <c r="G174" s="512"/>
      <c r="H174" s="512"/>
      <c r="I174" s="512"/>
      <c r="O174" s="512"/>
      <c r="P174" s="512"/>
      <c r="Q174" s="512"/>
      <c r="R174" s="512"/>
      <c r="S174" s="512"/>
      <c r="T174" s="512"/>
      <c r="U174" s="512"/>
      <c r="V174" s="512"/>
      <c r="W174" s="512"/>
      <c r="X174" s="512"/>
      <c r="Y174" s="512"/>
      <c r="Z174" s="512"/>
      <c r="AA174" s="512"/>
      <c r="AB174" s="512"/>
      <c r="AC174" s="512"/>
      <c r="AD174" s="512"/>
    </row>
    <row r="175" spans="5:30" s="1" customFormat="1" x14ac:dyDescent="0.25">
      <c r="E175" s="2"/>
      <c r="G175" s="512"/>
      <c r="H175" s="512"/>
      <c r="I175" s="512"/>
      <c r="O175" s="512"/>
      <c r="P175" s="512"/>
      <c r="Q175" s="512"/>
      <c r="R175" s="512"/>
      <c r="S175" s="512"/>
      <c r="T175" s="512"/>
      <c r="U175" s="512"/>
      <c r="V175" s="512"/>
      <c r="W175" s="512"/>
      <c r="X175" s="512"/>
      <c r="Y175" s="512"/>
      <c r="Z175" s="512"/>
      <c r="AA175" s="512"/>
      <c r="AB175" s="512"/>
      <c r="AC175" s="512"/>
      <c r="AD175" s="512"/>
    </row>
    <row r="176" spans="5:30" s="1" customFormat="1" x14ac:dyDescent="0.25">
      <c r="E176" s="2"/>
      <c r="G176" s="512"/>
      <c r="H176" s="512"/>
      <c r="I176" s="512"/>
      <c r="O176" s="512"/>
      <c r="P176" s="512"/>
      <c r="Q176" s="512"/>
      <c r="R176" s="512"/>
      <c r="S176" s="512"/>
      <c r="T176" s="512"/>
      <c r="U176" s="512"/>
      <c r="V176" s="512"/>
      <c r="W176" s="512"/>
      <c r="X176" s="512"/>
      <c r="Y176" s="512"/>
      <c r="Z176" s="512"/>
      <c r="AA176" s="512"/>
      <c r="AB176" s="512"/>
      <c r="AC176" s="512"/>
      <c r="AD176" s="512"/>
    </row>
    <row r="177" spans="5:30" s="1" customFormat="1" x14ac:dyDescent="0.25">
      <c r="E177" s="2"/>
      <c r="G177" s="512"/>
      <c r="H177" s="512"/>
      <c r="I177" s="512"/>
      <c r="O177" s="512"/>
      <c r="P177" s="512"/>
      <c r="Q177" s="512"/>
      <c r="R177" s="512"/>
      <c r="S177" s="512"/>
      <c r="T177" s="512"/>
      <c r="U177" s="512"/>
      <c r="V177" s="512"/>
      <c r="W177" s="512"/>
      <c r="X177" s="512"/>
      <c r="Y177" s="512"/>
      <c r="Z177" s="512"/>
      <c r="AA177" s="512"/>
      <c r="AB177" s="512"/>
      <c r="AC177" s="512"/>
      <c r="AD177" s="512"/>
    </row>
    <row r="178" spans="5:30" s="1" customFormat="1" x14ac:dyDescent="0.25">
      <c r="E178" s="2"/>
      <c r="G178" s="512"/>
      <c r="H178" s="512"/>
      <c r="I178" s="512"/>
      <c r="O178" s="512"/>
      <c r="P178" s="512"/>
      <c r="Q178" s="512"/>
      <c r="R178" s="512"/>
      <c r="S178" s="512"/>
      <c r="T178" s="512"/>
      <c r="U178" s="512"/>
      <c r="V178" s="512"/>
      <c r="W178" s="512"/>
      <c r="X178" s="512"/>
      <c r="Y178" s="512"/>
      <c r="Z178" s="512"/>
      <c r="AA178" s="512"/>
      <c r="AB178" s="512"/>
      <c r="AC178" s="512"/>
      <c r="AD178" s="512"/>
    </row>
    <row r="179" spans="5:30" s="1" customFormat="1" x14ac:dyDescent="0.25">
      <c r="E179" s="2"/>
      <c r="G179" s="512"/>
      <c r="H179" s="512"/>
      <c r="I179" s="512"/>
      <c r="O179" s="512"/>
      <c r="P179" s="512"/>
      <c r="Q179" s="512"/>
      <c r="R179" s="512"/>
      <c r="S179" s="512"/>
      <c r="T179" s="512"/>
      <c r="U179" s="512"/>
      <c r="V179" s="512"/>
      <c r="W179" s="512"/>
      <c r="X179" s="512"/>
      <c r="Y179" s="512"/>
      <c r="Z179" s="512"/>
      <c r="AA179" s="512"/>
      <c r="AB179" s="512"/>
      <c r="AC179" s="512"/>
      <c r="AD179" s="512"/>
    </row>
    <row r="180" spans="5:30" s="1" customFormat="1" x14ac:dyDescent="0.25">
      <c r="E180" s="2"/>
      <c r="G180" s="512"/>
      <c r="H180" s="512"/>
      <c r="I180" s="512"/>
      <c r="O180" s="512"/>
      <c r="P180" s="512"/>
      <c r="Q180" s="512"/>
      <c r="R180" s="512"/>
      <c r="S180" s="512"/>
      <c r="T180" s="512"/>
      <c r="U180" s="512"/>
      <c r="V180" s="512"/>
      <c r="W180" s="512"/>
      <c r="X180" s="512"/>
      <c r="Y180" s="512"/>
      <c r="Z180" s="512"/>
      <c r="AA180" s="512"/>
      <c r="AB180" s="512"/>
      <c r="AC180" s="512"/>
      <c r="AD180" s="512"/>
    </row>
    <row r="181" spans="5:30" s="1" customFormat="1" x14ac:dyDescent="0.25">
      <c r="E181" s="2"/>
      <c r="G181" s="512"/>
      <c r="H181" s="512"/>
      <c r="I181" s="512"/>
      <c r="O181" s="512"/>
      <c r="P181" s="512"/>
      <c r="Q181" s="512"/>
      <c r="R181" s="512"/>
      <c r="S181" s="512"/>
      <c r="T181" s="512"/>
      <c r="U181" s="512"/>
      <c r="V181" s="512"/>
      <c r="W181" s="512"/>
      <c r="X181" s="512"/>
      <c r="Y181" s="512"/>
      <c r="Z181" s="512"/>
      <c r="AA181" s="512"/>
      <c r="AB181" s="512"/>
      <c r="AC181" s="512"/>
      <c r="AD181" s="512"/>
    </row>
    <row r="182" spans="5:30" s="1" customFormat="1" x14ac:dyDescent="0.25">
      <c r="E182" s="2"/>
      <c r="G182" s="512"/>
      <c r="H182" s="512"/>
      <c r="I182" s="512"/>
      <c r="O182" s="512"/>
      <c r="P182" s="512"/>
      <c r="Q182" s="512"/>
      <c r="R182" s="512"/>
      <c r="S182" s="512"/>
      <c r="T182" s="512"/>
      <c r="U182" s="512"/>
      <c r="V182" s="512"/>
      <c r="W182" s="512"/>
      <c r="X182" s="512"/>
      <c r="Y182" s="512"/>
      <c r="Z182" s="512"/>
      <c r="AA182" s="512"/>
      <c r="AB182" s="512"/>
      <c r="AC182" s="512"/>
      <c r="AD182" s="512"/>
    </row>
    <row r="183" spans="5:30" s="1" customFormat="1" x14ac:dyDescent="0.25">
      <c r="E183" s="2"/>
      <c r="G183" s="512"/>
      <c r="H183" s="512"/>
      <c r="I183" s="512"/>
      <c r="O183" s="512"/>
      <c r="P183" s="512"/>
      <c r="Q183" s="512"/>
      <c r="R183" s="512"/>
      <c r="S183" s="512"/>
      <c r="T183" s="512"/>
      <c r="U183" s="512"/>
      <c r="V183" s="512"/>
      <c r="W183" s="512"/>
      <c r="X183" s="512"/>
      <c r="Y183" s="512"/>
      <c r="Z183" s="512"/>
      <c r="AA183" s="512"/>
      <c r="AB183" s="512"/>
      <c r="AC183" s="512"/>
      <c r="AD183" s="512"/>
    </row>
    <row r="184" spans="5:30" s="1" customFormat="1" x14ac:dyDescent="0.25">
      <c r="E184" s="2"/>
      <c r="G184" s="512"/>
      <c r="H184" s="512"/>
      <c r="I184" s="512"/>
      <c r="O184" s="512"/>
      <c r="P184" s="512"/>
      <c r="Q184" s="512"/>
      <c r="R184" s="512"/>
      <c r="S184" s="512"/>
      <c r="T184" s="512"/>
      <c r="U184" s="512"/>
      <c r="V184" s="512"/>
      <c r="W184" s="512"/>
      <c r="X184" s="512"/>
      <c r="Y184" s="512"/>
      <c r="Z184" s="512"/>
      <c r="AA184" s="512"/>
      <c r="AB184" s="512"/>
      <c r="AC184" s="512"/>
      <c r="AD184" s="512"/>
    </row>
    <row r="185" spans="5:30" s="1" customFormat="1" x14ac:dyDescent="0.25">
      <c r="E185" s="2"/>
      <c r="G185" s="512"/>
      <c r="H185" s="512"/>
      <c r="I185" s="512"/>
      <c r="O185" s="512"/>
      <c r="P185" s="512"/>
      <c r="Q185" s="512"/>
      <c r="R185" s="512"/>
      <c r="S185" s="512"/>
      <c r="T185" s="512"/>
      <c r="U185" s="512"/>
      <c r="V185" s="512"/>
      <c r="W185" s="512"/>
      <c r="X185" s="512"/>
      <c r="Y185" s="512"/>
      <c r="Z185" s="512"/>
      <c r="AA185" s="512"/>
      <c r="AB185" s="512"/>
      <c r="AC185" s="512"/>
      <c r="AD185" s="512"/>
    </row>
    <row r="186" spans="5:30" s="1" customFormat="1" x14ac:dyDescent="0.25">
      <c r="E186" s="2"/>
      <c r="G186" s="512"/>
      <c r="H186" s="512"/>
      <c r="I186" s="512"/>
      <c r="O186" s="512"/>
      <c r="P186" s="512"/>
      <c r="Q186" s="512"/>
      <c r="R186" s="512"/>
      <c r="S186" s="512"/>
      <c r="T186" s="512"/>
      <c r="U186" s="512"/>
      <c r="V186" s="512"/>
      <c r="W186" s="512"/>
      <c r="X186" s="512"/>
      <c r="Y186" s="512"/>
      <c r="Z186" s="512"/>
      <c r="AA186" s="512"/>
      <c r="AB186" s="512"/>
      <c r="AC186" s="512"/>
      <c r="AD186" s="512"/>
    </row>
  </sheetData>
  <sheetProtection algorithmName="SHA-512" hashValue="m/dyeCddtQX2gvJIhA2EpB1BnQcQjGobrTlMEECmsgt/mvgrVK8IgpJTfoKFEe/4XZpSG0CEW6D4bOKCmZ1+oQ==" saltValue="a0taAUGPrQXCasGkTXimCg==" spinCount="100000" sheet="1" formatCells="0"/>
  <sortState xmlns:xlrd2="http://schemas.microsoft.com/office/spreadsheetml/2017/richdata2" ref="AF82:AF86">
    <sortCondition ref="AF82"/>
  </sortState>
  <dataConsolidate/>
  <mergeCells count="5">
    <mergeCell ref="B46:F46"/>
    <mergeCell ref="B49:F49"/>
    <mergeCell ref="B40:F40"/>
    <mergeCell ref="B35:C35"/>
    <mergeCell ref="E35:F35"/>
  </mergeCells>
  <phoneticPr fontId="22" type="noConversion"/>
  <conditionalFormatting sqref="E17:F17">
    <cfRule type="expression" dxfId="4048" priority="6">
      <formula>$F$5=$AE$5</formula>
    </cfRule>
    <cfRule type="expression" dxfId="4047" priority="594">
      <formula>$F$5&lt;&gt;$L$5</formula>
    </cfRule>
  </conditionalFormatting>
  <conditionalFormatting sqref="E16:F16 E17">
    <cfRule type="expression" dxfId="4046" priority="596">
      <formula>$F$5&lt;&gt;$L$5</formula>
    </cfRule>
  </conditionalFormatting>
  <conditionalFormatting sqref="E14:F14">
    <cfRule type="expression" dxfId="4045" priority="599">
      <formula>$F$5&lt;&gt;$L$9</formula>
    </cfRule>
  </conditionalFormatting>
  <conditionalFormatting sqref="E21:F21">
    <cfRule type="expression" dxfId="4044" priority="16">
      <formula>$H$21=0</formula>
    </cfRule>
  </conditionalFormatting>
  <conditionalFormatting sqref="E16:F16">
    <cfRule type="expression" dxfId="4043" priority="7">
      <formula>$F$5=$AE$5</formula>
    </cfRule>
  </conditionalFormatting>
  <conditionalFormatting sqref="E20:F20 E22:F22">
    <cfRule type="expression" dxfId="4042" priority="5">
      <formula>$F$5=$AE$5</formula>
    </cfRule>
  </conditionalFormatting>
  <conditionalFormatting sqref="E18:F27">
    <cfRule type="expression" dxfId="4041" priority="4">
      <formula>$I18=0</formula>
    </cfRule>
  </conditionalFormatting>
  <conditionalFormatting sqref="F18:F27">
    <cfRule type="expression" dxfId="4040" priority="3">
      <formula>$I18=1</formula>
    </cfRule>
  </conditionalFormatting>
  <conditionalFormatting sqref="E28:F28">
    <cfRule type="expression" dxfId="4039" priority="2">
      <formula>$I28=0</formula>
    </cfRule>
  </conditionalFormatting>
  <conditionalFormatting sqref="F28">
    <cfRule type="expression" dxfId="4038" priority="1">
      <formula>$I28=1</formula>
    </cfRule>
  </conditionalFormatting>
  <dataValidations xWindow="982" yWindow="379" count="27">
    <dataValidation type="list" allowBlank="1" showInputMessage="1" showErrorMessage="1" sqref="P98" xr:uid="{00000000-0002-0000-0100-000000000000}">
      <formula1>$P$96:$P$97</formula1>
    </dataValidation>
    <dataValidation allowBlank="1" showErrorMessage="1" sqref="F13:F14 C6 C14:C17 C23:C32 E34" xr:uid="{00000000-0002-0000-0100-000001000000}"/>
    <dataValidation allowBlank="1" showInputMessage="1" showErrorMessage="1" prompt="This is the building address that will appear on the BREEAM certificate and GreenBook Live listing." sqref="B16" xr:uid="{00000000-0002-0000-0100-000002000000}"/>
    <dataValidation allowBlank="1" showInputMessage="1" showErrorMessage="1" prompt="This is a unique reference number supplied by BRE at project registration. If you wish to use this tool to begin an assessment but do not have a reference number, then enter &quot;to be confirmed&quot; in this field (and enter the reference number at a later date)." sqref="C5" xr:uid="{00000000-0002-0000-0100-000003000000}"/>
    <dataValidation allowBlank="1" showInputMessage="1" showErrorMessage="1" promptTitle="Building name" prompt="If you are unable to confirm this information at present, then enter &quot;to be confirmed&quot; in this field (and confirm at a later date)" sqref="C13" xr:uid="{00000000-0002-0000-0100-000004000000}"/>
    <dataValidation type="list" allowBlank="1" showErrorMessage="1" error="Incorrect entry, please re-try." sqref="R80" xr:uid="{00000000-0002-0000-0100-000005000000}">
      <formula1>ADAS01</formula1>
    </dataValidation>
    <dataValidation allowBlank="1" showInputMessage="1" showErrorMessage="1" error="Invalid data entry, please retry." prompt="This information will determine, in part, the applicability of BREEAM issue Ene07 and the number of credits available for BREEAM issue Hea02, when the criteria have been finalised for laboratory facilities." sqref="P43" xr:uid="{00000000-0002-0000-0100-000006000000}"/>
    <dataValidation type="list" allowBlank="1" showErrorMessage="1" error="Invalid data entry, please retry." sqref="F21" xr:uid="{00000000-0002-0000-0100-000007000000}">
      <formula1>AD_Labsize_list</formula1>
    </dataValidation>
    <dataValidation type="list" showErrorMessage="1" error="Invalid data entry, please retry." sqref="F16:F17" xr:uid="{00000000-0002-0000-0100-000009000000}">
      <formula1>AD_YesNo</formula1>
    </dataValidation>
    <dataValidation type="list" allowBlank="1" showErrorMessage="1" error="Invalid data entry, please retry." sqref="F18:F19 P69 F22:F24 F26:F28" xr:uid="{00000000-0002-0000-0100-00000A000000}">
      <formula1>AD_YesNo</formula1>
    </dataValidation>
    <dataValidation type="list" allowBlank="1" showInputMessage="1" showErrorMessage="1" sqref="P64" xr:uid="{00000000-0002-0000-0100-00000B000000}">
      <formula1>TRA01_BuildType</formula1>
    </dataValidation>
    <dataValidation allowBlank="1" showInputMessage="1" showErrorMessage="1" prompt="Insert an electornic signature here." sqref="C61" xr:uid="{00000000-0002-0000-0100-00000C000000}"/>
    <dataValidation type="list" allowBlank="1" showInputMessage="1" showErrorMessage="1" error="Invalid data entry, please re-try" sqref="R81" xr:uid="{00000000-0002-0000-0100-00000D000000}">
      <formula1>AD_BREEAM_stage</formula1>
    </dataValidation>
    <dataValidation allowBlank="1" showInputMessage="1" showErrorMessage="1" error="Invalid data entry, please retry." sqref="F30:F32" xr:uid="{00000000-0002-0000-0100-00000E000000}"/>
    <dataValidation type="list" allowBlank="1" showInputMessage="1" showErrorMessage="1" error="Invalid data entry, please re-try" sqref="R82" xr:uid="{00000000-0002-0000-0100-000010000000}">
      <formula1>$Q$8</formula1>
    </dataValidation>
    <dataValidation allowBlank="1" showErrorMessage="1" prompt=" " sqref="F12" xr:uid="{00000000-0002-0000-0100-000011000000}"/>
    <dataValidation allowBlank="1" showInputMessage="1" showErrorMessage="1" prompt="Bruksareal (BRA) er arealet innenfor omsluttede vegger, ref NS 3940:2012" sqref="E12" xr:uid="{00000000-0002-0000-0100-000012000000}"/>
    <dataValidation allowBlank="1" showInputMessage="1" showErrorMessage="1" prompt="Bruttoareal (BTA) er arealet begrenset av ytterveggens utside eller midt i delevegg, ref NS 3940:2012" sqref="E13" xr:uid="{00000000-0002-0000-0100-000013000000}"/>
    <dataValidation allowBlank="1" showInputMessage="1" showErrorMessage="1" prompt="Det er ingen definisjon av BRAs (salgbart bruksareal) iht. NS 3940:2012. BRAs er den enkelte leilighets BRA, det vil si areal innenfor omsluttende vegger i leiligheten. " sqref="E14" xr:uid="{00000000-0002-0000-0100-000014000000}"/>
    <dataValidation type="list" allowBlank="1" showErrorMessage="1" error="Please review, your data entry is invalid." sqref="F6" xr:uid="{00000000-0002-0000-0100-000015000000}">
      <formula1>$O$5:$O$13</formula1>
    </dataValidation>
    <dataValidation type="list" allowBlank="1" showInputMessage="1" showErrorMessage="1" error="Invalid data entry, please retry." prompt="This information determines the applicability of BREEAM issue Ene02a." sqref="G77:I77 Q42" xr:uid="{00000000-0002-0000-0100-000017000000}">
      <formula1>AD_YesNo</formula1>
    </dataValidation>
    <dataValidation allowBlank="1" showErrorMessage="1" prompt="Please state the company name." sqref="B35" xr:uid="{00000000-0002-0000-0100-000019000000}"/>
    <dataValidation allowBlank="1" showInputMessage="1" showErrorMessage="1" promptTitle="Building description" prompt="Include a brief description og the building (layout, number of floors, etc.). Indicate what is included and if there are any areas excluded from the assessment." sqref="E35:F35" xr:uid="{00000000-0002-0000-0100-00001B000000}"/>
    <dataValidation type="list" allowBlank="1" showErrorMessage="1" error="Please review, your data entry is invalid." sqref="F5" xr:uid="{00000000-0002-0000-0100-00000F000000}">
      <formula1>$L$5:$L$17</formula1>
    </dataValidation>
    <dataValidation type="list" allowBlank="1" showErrorMessage="1" error="Invalid data entry, please retry." sqref="F20" xr:uid="{7FC0A853-413C-49C1-B2DE-3EAE9BFE3F89}">
      <formula1>$Q$51:$Q$54</formula1>
    </dataValidation>
    <dataValidation type="list" allowBlank="1" showErrorMessage="1" error="Invalid data entry, please retry." sqref="F25" xr:uid="{10067917-375C-485B-8027-3530AE81B846}">
      <formula1>$J$30:$J$31</formula1>
    </dataValidation>
    <dataValidation type="list" allowBlank="1" showErrorMessage="1" error="Incorrect entry, please retry." sqref="F7" xr:uid="{00000000-0002-0000-0100-000016000000}">
      <formula1>$Q$11:$Q$13</formula1>
    </dataValidation>
  </dataValidations>
  <printOptions horizontalCentered="1"/>
  <pageMargins left="0.23622047244094491" right="0.23622047244094491" top="0.32" bottom="0.41" header="0.31496062992125984" footer="0.31496062992125984"/>
  <pageSetup paperSize="9" scale="52" orientation="landscape" errors="blank" r:id="rId1"/>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21" id="{240F26BE-6750-453C-920D-0E16B2A89131}">
            <xm:f>'Manuell filtrering og justering'!$I$2='Manuell filtrering og justering'!$J$2</xm:f>
            <x14:dxf>
              <border>
                <top style="thin">
                  <color theme="0"/>
                </top>
                <vertical/>
                <horizontal/>
              </border>
            </x14:dxf>
          </x14:cfRule>
          <xm:sqref>B17</xm:sqref>
        </x14:conditionalFormatting>
        <x14:conditionalFormatting xmlns:xm="http://schemas.microsoft.com/office/excel/2006/main">
          <x14:cfRule type="expression" priority="20" id="{15BD1200-67FE-42E0-955A-22C5BFC5B389}">
            <xm:f>'Manuell filtrering og justering'!$I$2='Manuell filtrering og justering'!$J$2</xm:f>
            <x14:dxf>
              <border>
                <top style="thin">
                  <color auto="1"/>
                </top>
                <vertical/>
                <horizontal/>
              </border>
            </x14:dxf>
          </x14:cfRule>
          <xm:sqref>C17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384"/>
  <sheetViews>
    <sheetView zoomScale="85" zoomScaleNormal="85" zoomScalePageLayoutView="30" workbookViewId="0">
      <pane ySplit="9" topLeftCell="A10" activePane="bottomLeft" state="frozen"/>
      <selection pane="bottomLeft" activeCell="G12" sqref="G12"/>
    </sheetView>
  </sheetViews>
  <sheetFormatPr defaultColWidth="9.140625" defaultRowHeight="15" x14ac:dyDescent="0.25"/>
  <cols>
    <col min="1" max="1" width="3.28515625" style="19" customWidth="1"/>
    <col min="2" max="2" width="3.42578125" style="19" customWidth="1"/>
    <col min="3" max="3" width="7.85546875" style="19" customWidth="1"/>
    <col min="4" max="4" width="9.5703125" style="64" hidden="1" customWidth="1"/>
    <col min="5" max="5" width="71.7109375" style="1" customWidth="1"/>
    <col min="6" max="6" width="9.42578125" style="1" customWidth="1"/>
    <col min="7" max="7" width="7.42578125" style="1" customWidth="1"/>
    <col min="8" max="8" width="9.5703125" style="1" customWidth="1"/>
    <col min="9" max="9" width="13.140625" style="1" customWidth="1"/>
    <col min="10" max="10" width="8.140625" style="1" customWidth="1"/>
    <col min="11" max="11" width="5.140625" style="1" customWidth="1"/>
    <col min="12" max="12" width="30" style="758" customWidth="1"/>
    <col min="13" max="13" width="1" style="818" customWidth="1"/>
    <col min="14" max="14" width="8.5703125" style="761" customWidth="1"/>
    <col min="15" max="15" width="9.5703125" style="761" customWidth="1"/>
    <col min="16" max="16" width="12.42578125" style="761" bestFit="1" customWidth="1"/>
    <col min="17" max="17" width="9" style="761" customWidth="1"/>
    <col min="18" max="18" width="4.85546875" style="761" customWidth="1"/>
    <col min="19" max="19" width="28.140625" style="761" customWidth="1"/>
    <col min="20" max="20" width="1" style="133" customWidth="1"/>
    <col min="21" max="22" width="9.28515625" style="262" customWidth="1"/>
    <col min="23" max="23" width="12.42578125" style="262" bestFit="1" customWidth="1"/>
    <col min="24" max="24" width="7.7109375" style="262" customWidth="1"/>
    <col min="25" max="25" width="4.85546875" style="262" customWidth="1"/>
    <col min="26" max="26" width="26.7109375" style="761" customWidth="1"/>
    <col min="27" max="27" width="1" style="23" hidden="1" customWidth="1"/>
    <col min="28" max="28" width="21.42578125" style="23" hidden="1" customWidth="1"/>
    <col min="29" max="29" width="6.42578125" style="132" hidden="1" customWidth="1"/>
    <col min="30" max="30" width="15.7109375" style="261" hidden="1" customWidth="1"/>
    <col min="31" max="32" width="9.140625" style="261" hidden="1" customWidth="1"/>
    <col min="33" max="34" width="9.140625" style="1" hidden="1" customWidth="1"/>
    <col min="35" max="35" width="7.140625" style="1" hidden="1" customWidth="1"/>
    <col min="36" max="36" width="43" style="1" hidden="1" customWidth="1"/>
    <col min="37" max="37" width="11.85546875" style="1" hidden="1" customWidth="1"/>
    <col min="38" max="38" width="27" style="1" hidden="1" customWidth="1"/>
    <col min="39" max="42" width="8.5703125" style="1" hidden="1" customWidth="1"/>
    <col min="43" max="51" width="9.140625" style="1" hidden="1" customWidth="1"/>
    <col min="52" max="52" width="7" style="1" hidden="1" customWidth="1"/>
    <col min="53" max="53" width="9.140625" style="1" hidden="1" customWidth="1"/>
    <col min="54" max="86" width="9.140625" style="1" customWidth="1"/>
    <col min="87" max="16384" width="9.140625" style="1"/>
  </cols>
  <sheetData>
    <row r="1" spans="1:58" ht="42" customHeight="1" x14ac:dyDescent="0.35">
      <c r="A1" s="1069"/>
      <c r="B1" s="1069"/>
      <c r="C1" s="1069"/>
      <c r="D1" s="735"/>
      <c r="E1" s="267" t="s">
        <v>969</v>
      </c>
      <c r="F1" s="268"/>
      <c r="G1" s="268"/>
      <c r="H1" s="267"/>
      <c r="I1" s="268"/>
      <c r="J1" s="268"/>
      <c r="K1" s="268"/>
      <c r="L1" s="1159"/>
      <c r="M1" s="268"/>
      <c r="N1" s="268"/>
      <c r="O1" s="268"/>
      <c r="P1" s="268"/>
      <c r="Q1" s="268"/>
      <c r="R1" s="268"/>
      <c r="S1" s="268"/>
      <c r="T1" s="268"/>
      <c r="U1" s="268"/>
      <c r="V1" s="268"/>
      <c r="W1" s="268"/>
      <c r="X1" s="268"/>
      <c r="Y1" s="268"/>
      <c r="Z1" s="637" t="str">
        <f>IF('Manuell filtrering og justering'!I2='Manuell filtrering og justering'!J2,"Bespoke","")</f>
        <v/>
      </c>
      <c r="AA1" s="268"/>
      <c r="AB1" s="268"/>
      <c r="AC1" s="268"/>
      <c r="AD1" s="1"/>
      <c r="AE1" s="1"/>
      <c r="AF1" s="1"/>
      <c r="AI1" s="669" t="s">
        <v>427</v>
      </c>
      <c r="AJ1" s="668"/>
      <c r="AK1" s="668"/>
      <c r="AL1" s="668"/>
      <c r="AM1" s="668"/>
      <c r="AN1" s="668"/>
      <c r="AO1" s="668"/>
      <c r="AP1" s="668"/>
      <c r="AQ1" s="668"/>
      <c r="AR1" s="668"/>
      <c r="AS1" s="668"/>
      <c r="AT1" s="668"/>
      <c r="AU1" s="668"/>
      <c r="AV1" s="668"/>
      <c r="AW1" s="668"/>
      <c r="AX1" s="668"/>
      <c r="AY1" s="668"/>
      <c r="AZ1" s="668"/>
      <c r="BA1" s="668"/>
    </row>
    <row r="2" spans="1:58" s="64" customFormat="1" ht="6" customHeight="1" x14ac:dyDescent="0.25">
      <c r="A2" s="19"/>
      <c r="B2" s="19"/>
      <c r="C2" s="19"/>
      <c r="E2" s="100">
        <v>1</v>
      </c>
      <c r="F2" s="101">
        <v>2</v>
      </c>
      <c r="G2" s="100">
        <v>3</v>
      </c>
      <c r="H2" s="101">
        <v>4</v>
      </c>
      <c r="I2" s="100">
        <v>5</v>
      </c>
      <c r="J2" s="101">
        <v>6</v>
      </c>
      <c r="K2" s="100">
        <v>7</v>
      </c>
      <c r="L2" s="101">
        <v>8</v>
      </c>
      <c r="M2" s="100">
        <v>9</v>
      </c>
      <c r="N2" s="101">
        <v>10</v>
      </c>
      <c r="O2" s="100">
        <v>11</v>
      </c>
      <c r="P2" s="101">
        <v>12</v>
      </c>
      <c r="Q2" s="100">
        <v>13</v>
      </c>
      <c r="R2" s="101">
        <v>14</v>
      </c>
      <c r="S2" s="100">
        <v>15</v>
      </c>
      <c r="T2" s="101">
        <v>16</v>
      </c>
      <c r="U2" s="100">
        <v>17</v>
      </c>
      <c r="V2" s="101">
        <v>18</v>
      </c>
      <c r="W2" s="100">
        <v>19</v>
      </c>
      <c r="X2" s="101">
        <v>20</v>
      </c>
      <c r="Y2" s="100">
        <v>21</v>
      </c>
      <c r="Z2" s="101">
        <v>22</v>
      </c>
      <c r="AA2" s="100">
        <v>23</v>
      </c>
      <c r="AB2" s="101">
        <v>24</v>
      </c>
      <c r="AC2" s="100">
        <v>25</v>
      </c>
      <c r="AD2" s="101">
        <v>26</v>
      </c>
      <c r="AE2" s="100">
        <v>27</v>
      </c>
      <c r="AF2" s="101">
        <v>28</v>
      </c>
      <c r="AG2" s="100">
        <v>29</v>
      </c>
      <c r="AH2" s="101">
        <v>30</v>
      </c>
      <c r="AI2" s="100">
        <v>31</v>
      </c>
      <c r="AJ2" s="101">
        <v>32</v>
      </c>
      <c r="AK2" s="100">
        <v>33</v>
      </c>
      <c r="AL2" s="101">
        <v>34</v>
      </c>
      <c r="AM2" s="100">
        <v>35</v>
      </c>
      <c r="AN2" s="101">
        <v>36</v>
      </c>
      <c r="AO2" s="100">
        <v>37</v>
      </c>
      <c r="AP2" s="101">
        <v>38</v>
      </c>
      <c r="AQ2" s="100">
        <v>39</v>
      </c>
      <c r="AR2" s="101">
        <v>40</v>
      </c>
      <c r="AS2" s="100">
        <v>41</v>
      </c>
      <c r="AT2" s="101">
        <v>42</v>
      </c>
      <c r="AU2" s="100">
        <v>43</v>
      </c>
      <c r="AV2" s="101">
        <v>44</v>
      </c>
      <c r="AW2" s="100">
        <v>45</v>
      </c>
      <c r="AX2" s="101">
        <v>46</v>
      </c>
      <c r="AY2" s="100">
        <v>47</v>
      </c>
      <c r="AZ2" s="101">
        <v>48</v>
      </c>
      <c r="BA2" s="100">
        <v>49</v>
      </c>
    </row>
    <row r="3" spans="1:58" ht="20.25" customHeight="1" x14ac:dyDescent="0.4">
      <c r="A3" s="1012"/>
      <c r="B3" s="1012"/>
      <c r="C3" s="1012"/>
      <c r="D3" s="736"/>
      <c r="E3" s="285"/>
      <c r="F3" s="102"/>
      <c r="G3" s="1286" t="s">
        <v>217</v>
      </c>
      <c r="H3" s="1287"/>
      <c r="I3" s="1287"/>
      <c r="J3" s="1287"/>
      <c r="K3" s="1287"/>
      <c r="L3" s="739"/>
      <c r="M3" s="801"/>
      <c r="N3" s="1286" t="s">
        <v>222</v>
      </c>
      <c r="O3" s="1287"/>
      <c r="P3" s="1287"/>
      <c r="Q3" s="1287"/>
      <c r="R3" s="1287"/>
      <c r="S3" s="1288"/>
      <c r="T3" s="800"/>
      <c r="U3" s="1286" t="s">
        <v>223</v>
      </c>
      <c r="V3" s="1287"/>
      <c r="W3" s="1287"/>
      <c r="X3" s="1287"/>
      <c r="Y3" s="1287"/>
      <c r="Z3" s="1288"/>
      <c r="AA3" s="675"/>
      <c r="AB3" s="685" t="s">
        <v>425</v>
      </c>
      <c r="AC3" s="638"/>
      <c r="AD3" s="638"/>
      <c r="AE3" s="638"/>
      <c r="AF3" s="639"/>
      <c r="AJ3" s="3" t="s">
        <v>404</v>
      </c>
      <c r="AK3" s="1" t="str">
        <f>ADPT</f>
        <v>New Construction (fully fitted)</v>
      </c>
    </row>
    <row r="4" spans="1:58" s="2" customFormat="1" ht="15" customHeight="1" x14ac:dyDescent="0.25">
      <c r="A4" s="1012"/>
      <c r="B4" s="1012"/>
      <c r="C4" s="1012"/>
      <c r="D4" s="736"/>
      <c r="E4" s="103" t="s">
        <v>21</v>
      </c>
      <c r="F4" s="98"/>
      <c r="G4" s="104" t="s">
        <v>314</v>
      </c>
      <c r="H4" s="105"/>
      <c r="I4" s="1016"/>
      <c r="J4" s="1016"/>
      <c r="K4" s="1017"/>
      <c r="L4" s="106" t="str">
        <f>BP_BREEAMRating</f>
        <v>Unclassified</v>
      </c>
      <c r="M4" s="740"/>
      <c r="N4" s="929" t="str">
        <f>IF(S8=Poeng!D276,Poeng!E276,Poeng!F276)</f>
        <v>To activate select YES in cell S8</v>
      </c>
      <c r="O4" s="802"/>
      <c r="P4" s="802"/>
      <c r="Q4" s="802"/>
      <c r="R4" s="802"/>
      <c r="S4" s="803" t="str">
        <f>IF(S8=AD_no,"",Poeng!BH263)</f>
        <v/>
      </c>
      <c r="T4" s="271"/>
      <c r="U4" s="931" t="str">
        <f>IF(Z8=Poeng!D276,Poeng!E277,Poeng!F277)</f>
        <v>To activate select YES in cell Z8</v>
      </c>
      <c r="V4" s="804"/>
      <c r="W4" s="804"/>
      <c r="X4" s="804"/>
      <c r="Y4" s="804"/>
      <c r="Z4" s="803" t="str">
        <f>IF(Z8=AD_no,"",Poeng!BK263)</f>
        <v/>
      </c>
      <c r="AA4" s="98"/>
      <c r="AB4" s="1289" t="s">
        <v>461</v>
      </c>
      <c r="AC4" s="107"/>
      <c r="AD4" s="37"/>
      <c r="AE4" s="37"/>
      <c r="AF4" s="37"/>
      <c r="AG4" s="37"/>
      <c r="AJ4" s="46" t="str">
        <f>IF(OR(AK3=AK4,AK3=AK5),ais_ja,ais_nei)</f>
        <v>Nei</v>
      </c>
      <c r="AK4" s="2" t="str">
        <f>ADPT02</f>
        <v>New Construction (shell only)</v>
      </c>
      <c r="AU4" s="20"/>
      <c r="AV4" s="20"/>
      <c r="AW4" s="20"/>
      <c r="AX4" s="20"/>
    </row>
    <row r="5" spans="1:58" s="2" customFormat="1" ht="15" customHeight="1" x14ac:dyDescent="0.25">
      <c r="A5" s="1012"/>
      <c r="B5" s="1012"/>
      <c r="C5" s="1012"/>
      <c r="D5" s="736"/>
      <c r="E5" s="108" t="str">
        <f>IF(ISBLANK(ADBN),"",ADBN)</f>
        <v/>
      </c>
      <c r="F5" s="98"/>
      <c r="G5" s="109" t="s">
        <v>86</v>
      </c>
      <c r="H5" s="110"/>
      <c r="I5" s="1018"/>
      <c r="J5" s="1018"/>
      <c r="K5" s="111"/>
      <c r="L5" s="272">
        <f>Score_Initial</f>
        <v>0</v>
      </c>
      <c r="M5" s="740"/>
      <c r="N5" s="930" t="s">
        <v>86</v>
      </c>
      <c r="O5" s="805"/>
      <c r="P5" s="805"/>
      <c r="Q5" s="805"/>
      <c r="R5" s="805"/>
      <c r="S5" s="806" t="str">
        <f>IF(S8=AD_no,"",Score_design)</f>
        <v/>
      </c>
      <c r="T5" s="271"/>
      <c r="U5" s="932" t="s">
        <v>86</v>
      </c>
      <c r="V5" s="807"/>
      <c r="W5" s="807"/>
      <c r="X5" s="807"/>
      <c r="Y5" s="807"/>
      <c r="Z5" s="806" t="str">
        <f>IF(Z8=AD_no,"",Score_const)</f>
        <v/>
      </c>
      <c r="AA5" s="98"/>
      <c r="AB5" s="1290"/>
      <c r="AC5" s="107"/>
      <c r="AD5" s="274"/>
      <c r="AE5" s="274"/>
      <c r="AF5" s="274"/>
      <c r="AG5" s="274"/>
      <c r="AJ5" s="607"/>
      <c r="AK5" s="643" t="str">
        <f>ADPT04</f>
        <v>Major Refurbishment (shell only)</v>
      </c>
    </row>
    <row r="6" spans="1:58" s="2" customFormat="1" ht="15" customHeight="1" x14ac:dyDescent="0.25">
      <c r="A6" s="1012"/>
      <c r="B6" s="1012"/>
      <c r="C6" s="1012"/>
      <c r="D6" s="736"/>
      <c r="E6" s="1152" t="str">
        <f>"Pre-Assessment Estimator Version: "&amp;TVC_current_version</f>
        <v>Pre-Assessment Estimator Version: 1.3</v>
      </c>
      <c r="F6" s="98"/>
      <c r="G6" s="109" t="s">
        <v>81</v>
      </c>
      <c r="H6" s="110"/>
      <c r="I6" s="1018"/>
      <c r="J6" s="1018"/>
      <c r="K6" s="111"/>
      <c r="L6" s="112" t="str">
        <f>BP_MinStandards</f>
        <v>Unclassified</v>
      </c>
      <c r="M6" s="740"/>
      <c r="N6" s="930" t="s">
        <v>81</v>
      </c>
      <c r="O6" s="805"/>
      <c r="P6" s="805"/>
      <c r="Q6" s="805"/>
      <c r="R6" s="805"/>
      <c r="S6" s="808" t="str">
        <f>IF(S8=AD_no,"",BP_MinStandards_design)</f>
        <v/>
      </c>
      <c r="T6" s="271"/>
      <c r="U6" s="932" t="s">
        <v>81</v>
      </c>
      <c r="V6" s="807"/>
      <c r="W6" s="807"/>
      <c r="X6" s="807"/>
      <c r="Y6" s="807"/>
      <c r="Z6" s="808" t="str">
        <f>IF(Z8=AD_no,"",BP_MinStandards_const)</f>
        <v/>
      </c>
      <c r="AA6" s="98"/>
      <c r="AB6" s="1290"/>
      <c r="AC6" s="107"/>
      <c r="AD6" s="274"/>
      <c r="AE6" s="274"/>
      <c r="AF6" s="274"/>
      <c r="AG6" s="274"/>
      <c r="AJ6" s="607" t="s">
        <v>410</v>
      </c>
      <c r="AK6" s="367"/>
      <c r="AL6" s="367"/>
      <c r="AM6" s="367"/>
      <c r="AN6" s="367"/>
      <c r="AO6" s="367"/>
      <c r="AP6" s="367"/>
      <c r="AQ6" s="23"/>
      <c r="AR6" s="23"/>
      <c r="AS6" s="23"/>
      <c r="AT6" s="23"/>
      <c r="AU6" s="23"/>
      <c r="AV6" s="23"/>
      <c r="AW6" s="23"/>
      <c r="AX6" s="23"/>
      <c r="AY6" s="23"/>
      <c r="AZ6" s="23"/>
      <c r="BA6" s="23"/>
      <c r="BB6" s="23"/>
      <c r="BC6" s="23"/>
      <c r="BD6" s="420"/>
      <c r="BE6" s="420"/>
      <c r="BF6" s="420"/>
    </row>
    <row r="7" spans="1:58" s="2" customFormat="1" ht="15" customHeight="1" thickBot="1" x14ac:dyDescent="0.3">
      <c r="A7" s="1012"/>
      <c r="B7" s="1012"/>
      <c r="C7" s="1012"/>
      <c r="D7" s="736"/>
      <c r="E7" s="108" t="str">
        <f>ADPT</f>
        <v>New Construction (fully fitted)</v>
      </c>
      <c r="F7" s="98"/>
      <c r="G7" s="1149" t="s">
        <v>979</v>
      </c>
      <c r="H7" s="1150"/>
      <c r="I7" s="1150"/>
      <c r="J7" s="1150"/>
      <c r="K7" s="1150"/>
      <c r="L7" s="1151" t="str">
        <f>Poeng!BR257</f>
        <v>No</v>
      </c>
      <c r="M7" s="740"/>
      <c r="N7" s="930" t="str">
        <f>G7</f>
        <v xml:space="preserve">Requirements for EU taxonomy </v>
      </c>
      <c r="O7" s="805"/>
      <c r="P7" s="805"/>
      <c r="Q7" s="805"/>
      <c r="R7" s="805"/>
      <c r="S7" s="808" t="str">
        <f>IF(S8=AD_no,"",Poeng!BS257)</f>
        <v/>
      </c>
      <c r="T7" s="271"/>
      <c r="U7" s="932" t="str">
        <f>G7</f>
        <v xml:space="preserve">Requirements for EU taxonomy </v>
      </c>
      <c r="V7" s="807"/>
      <c r="W7" s="807"/>
      <c r="X7" s="807"/>
      <c r="Y7" s="807"/>
      <c r="Z7" s="808" t="str">
        <f>IF(Z8=AD_no,"",Poeng!BT257)</f>
        <v/>
      </c>
      <c r="AA7" s="98"/>
      <c r="AB7" s="1290"/>
      <c r="AC7" s="107"/>
      <c r="AD7" s="274"/>
      <c r="AE7" s="274"/>
      <c r="AF7" s="274"/>
      <c r="AG7" s="274"/>
      <c r="AJ7" s="607"/>
      <c r="AK7" s="1044"/>
      <c r="AL7" s="1044"/>
      <c r="AM7" s="1044"/>
      <c r="AN7" s="1044"/>
      <c r="AO7" s="1044"/>
      <c r="AP7" s="1044"/>
      <c r="AQ7" s="23"/>
      <c r="AR7" s="23"/>
      <c r="AS7" s="23"/>
      <c r="AT7" s="23"/>
      <c r="AU7" s="23"/>
      <c r="AV7" s="23"/>
      <c r="AW7" s="23"/>
      <c r="AX7" s="23"/>
      <c r="AY7" s="23"/>
      <c r="AZ7" s="23"/>
      <c r="BA7" s="23"/>
      <c r="BB7" s="23"/>
      <c r="BC7" s="23"/>
      <c r="BD7" s="420"/>
      <c r="BE7" s="420"/>
      <c r="BF7" s="420"/>
    </row>
    <row r="8" spans="1:58" s="2" customFormat="1" ht="15" customHeight="1" x14ac:dyDescent="0.25">
      <c r="A8" s="19"/>
      <c r="B8" s="19"/>
      <c r="C8" s="19"/>
      <c r="D8" s="64"/>
      <c r="E8" s="1153" t="str">
        <f>IF(OR(Poeng!BF263=1,Poeng!BI263=1,Poeng!BL263=1),Poeng!AX268,"")</f>
        <v/>
      </c>
      <c r="F8" s="98"/>
      <c r="G8" s="113"/>
      <c r="H8" s="114"/>
      <c r="I8" s="115"/>
      <c r="J8" s="115"/>
      <c r="K8" s="115"/>
      <c r="L8" s="928"/>
      <c r="M8" s="740"/>
      <c r="N8" s="930" t="s">
        <v>303</v>
      </c>
      <c r="O8" s="805"/>
      <c r="P8" s="805"/>
      <c r="Q8" s="805"/>
      <c r="R8" s="805"/>
      <c r="S8" s="809" t="s">
        <v>13</v>
      </c>
      <c r="T8" s="271"/>
      <c r="U8" s="932" t="s">
        <v>303</v>
      </c>
      <c r="V8" s="807"/>
      <c r="W8" s="807"/>
      <c r="X8" s="807"/>
      <c r="Y8" s="807"/>
      <c r="Z8" s="809" t="s">
        <v>13</v>
      </c>
      <c r="AA8" s="98"/>
      <c r="AB8" s="1290"/>
      <c r="AC8" s="107"/>
      <c r="AD8" s="1284" t="s">
        <v>257</v>
      </c>
      <c r="AE8" s="1285"/>
      <c r="AF8" s="1285"/>
      <c r="AG8" s="274"/>
      <c r="AJ8" s="647" t="str">
        <f>IF(ADBT0=ADBT12,ais_nei,ais_ja)</f>
        <v>Ja</v>
      </c>
      <c r="AK8" s="644"/>
      <c r="AL8" s="644"/>
      <c r="AM8" s="644"/>
      <c r="AN8" s="650"/>
      <c r="AO8" s="650"/>
      <c r="AP8" s="650"/>
      <c r="AQ8" s="23"/>
      <c r="AR8" s="23"/>
      <c r="AS8" s="23"/>
      <c r="AT8" s="23"/>
      <c r="AU8" s="23"/>
      <c r="AV8" s="23"/>
      <c r="AW8" s="23"/>
      <c r="AX8" s="23"/>
      <c r="AY8" s="23"/>
      <c r="AZ8" s="23"/>
      <c r="BA8" s="23"/>
      <c r="BB8" s="23"/>
      <c r="BC8" s="23"/>
      <c r="BD8" s="37"/>
      <c r="BE8" s="37"/>
      <c r="BF8" s="37"/>
    </row>
    <row r="9" spans="1:58" ht="30" customHeight="1" x14ac:dyDescent="0.3">
      <c r="A9" s="737" t="s">
        <v>219</v>
      </c>
      <c r="B9" s="737" t="s">
        <v>220</v>
      </c>
      <c r="C9" s="737"/>
      <c r="D9" s="737"/>
      <c r="E9" s="1203" t="s">
        <v>1020</v>
      </c>
      <c r="F9" s="270" t="s">
        <v>102</v>
      </c>
      <c r="G9" s="116" t="s">
        <v>44</v>
      </c>
      <c r="H9" s="117" t="s">
        <v>827</v>
      </c>
      <c r="I9" s="118" t="s">
        <v>882</v>
      </c>
      <c r="J9" s="269" t="s">
        <v>301</v>
      </c>
      <c r="K9" s="283" t="s">
        <v>261</v>
      </c>
      <c r="L9" s="284" t="s">
        <v>262</v>
      </c>
      <c r="M9" s="740"/>
      <c r="N9" s="880" t="s">
        <v>44</v>
      </c>
      <c r="O9" s="879" t="s">
        <v>827</v>
      </c>
      <c r="P9" s="879" t="s">
        <v>882</v>
      </c>
      <c r="Q9" s="119" t="s">
        <v>301</v>
      </c>
      <c r="R9" s="119" t="s">
        <v>261</v>
      </c>
      <c r="S9" s="120" t="s">
        <v>262</v>
      </c>
      <c r="T9" s="121"/>
      <c r="U9" s="880" t="s">
        <v>44</v>
      </c>
      <c r="V9" s="879" t="s">
        <v>827</v>
      </c>
      <c r="W9" s="879" t="s">
        <v>882</v>
      </c>
      <c r="X9" s="119" t="s">
        <v>301</v>
      </c>
      <c r="Y9" s="119" t="s">
        <v>261</v>
      </c>
      <c r="Z9" s="120" t="s">
        <v>262</v>
      </c>
      <c r="AA9" s="107"/>
      <c r="AB9" s="698" t="str">
        <f>IF(AJ4=ais_ja,"Shell/core compliance?","")</f>
        <v/>
      </c>
      <c r="AC9" s="107"/>
      <c r="AD9" s="72" t="s">
        <v>258</v>
      </c>
      <c r="AE9" s="71" t="s">
        <v>259</v>
      </c>
      <c r="AF9" s="71" t="s">
        <v>260</v>
      </c>
      <c r="AI9" s="70" t="s">
        <v>428</v>
      </c>
      <c r="AY9" s="23"/>
      <c r="AZ9" s="23"/>
      <c r="BA9" s="23"/>
      <c r="BB9" s="23"/>
      <c r="BC9" s="23"/>
      <c r="BD9" s="18"/>
      <c r="BE9" s="18"/>
      <c r="BF9" s="18"/>
    </row>
    <row r="10" spans="1:58" ht="34.5" customHeight="1" x14ac:dyDescent="0.25">
      <c r="A10" s="1077">
        <v>1</v>
      </c>
      <c r="B10" s="1076" t="s">
        <v>63</v>
      </c>
      <c r="C10" s="1075"/>
      <c r="D10" s="823"/>
      <c r="E10" s="868" t="s">
        <v>11</v>
      </c>
      <c r="F10" s="869"/>
      <c r="G10" s="870"/>
      <c r="H10" s="869"/>
      <c r="I10" s="869"/>
      <c r="J10" s="871"/>
      <c r="K10" s="872"/>
      <c r="L10" s="873"/>
      <c r="M10" s="810"/>
      <c r="N10" s="811"/>
      <c r="O10" s="751"/>
      <c r="P10" s="751"/>
      <c r="Q10" s="812"/>
      <c r="R10" s="812"/>
      <c r="S10" s="743"/>
      <c r="T10" s="319"/>
      <c r="U10" s="333"/>
      <c r="V10" s="332"/>
      <c r="W10" s="332"/>
      <c r="X10" s="813"/>
      <c r="Y10" s="813"/>
      <c r="Z10" s="814"/>
      <c r="AA10" s="132"/>
      <c r="AB10" s="646"/>
      <c r="AC10" s="107">
        <f t="shared" ref="AC10:AC76" si="0">IF(F10="",1,IF(F10=0,2,1))</f>
        <v>1</v>
      </c>
      <c r="AD10" s="275">
        <v>0</v>
      </c>
      <c r="AE10" s="275">
        <v>0</v>
      </c>
      <c r="AF10" s="275">
        <v>0</v>
      </c>
      <c r="AI10" s="70"/>
      <c r="AJ10" s="670" t="s">
        <v>11</v>
      </c>
      <c r="AK10" s="645"/>
      <c r="AL10" s="645"/>
      <c r="AM10" s="645"/>
      <c r="AN10" s="645"/>
      <c r="AO10" s="645"/>
      <c r="AP10" s="645"/>
      <c r="AR10" s="645"/>
      <c r="AS10" s="645"/>
      <c r="AT10" s="645"/>
      <c r="AU10" s="645"/>
      <c r="AV10" s="649"/>
      <c r="AW10" s="649"/>
      <c r="AX10" s="649"/>
      <c r="AY10" s="23"/>
      <c r="AZ10" s="317"/>
      <c r="BA10" s="23"/>
      <c r="BB10" s="23"/>
      <c r="BC10" s="23"/>
      <c r="BD10" s="18"/>
      <c r="BE10" s="18"/>
      <c r="BF10" s="18"/>
    </row>
    <row r="11" spans="1:58" x14ac:dyDescent="0.25">
      <c r="A11" s="1077">
        <v>2</v>
      </c>
      <c r="B11" s="1076" t="s">
        <v>63</v>
      </c>
      <c r="C11" s="924" t="s">
        <v>93</v>
      </c>
      <c r="D11" s="824" t="s">
        <v>93</v>
      </c>
      <c r="E11" s="860" t="str">
        <f>VLOOKUP(D11,Poeng!$B$10:$R$252,Poeng!E$1,FALSE)</f>
        <v>Man 01 Project brief and design</v>
      </c>
      <c r="F11" s="865">
        <f>VLOOKUP(D11,Poeng!$B$10:$AB$252,Poeng!AB$1,FALSE)</f>
        <v>5</v>
      </c>
      <c r="G11" s="1000"/>
      <c r="H11" s="866" t="str">
        <f>VLOOKUP(D11,Poeng!$B$10:$AI$252,Poeng!AI$1,FALSE)&amp;" c. "&amp;ROUND(VLOOKUP(D11,Poeng!$B$10:$AE$252,Poeng!AE$1,FALSE)*100,1)&amp;" %"</f>
        <v>0 c. 0 %</v>
      </c>
      <c r="I11" s="923" t="str">
        <f>VLOOKUP(D11,Poeng!$B$10:$BE$252,Poeng!BE$1,FALSE)</f>
        <v>N/A</v>
      </c>
      <c r="J11" s="874"/>
      <c r="K11" s="875"/>
      <c r="L11" s="876"/>
      <c r="M11" s="815"/>
      <c r="N11" s="1001"/>
      <c r="O11" s="877" t="str">
        <f>VLOOKUP(D11,Poeng!$B$10:$BC$252,Poeng!AJ$1,FALSE)&amp;" c. "&amp;ROUND(VLOOKUP(D11,Poeng!$B$10:$BC$252,Poeng!AF$1,FALSE)*100,1)&amp;" %"</f>
        <v>0 c. 0 %</v>
      </c>
      <c r="P11" s="877" t="str">
        <f>VLOOKUP(D11,Poeng!$B$10:$BE$252,Poeng!BE$1,FALSE)</f>
        <v>N/A</v>
      </c>
      <c r="Q11" s="744"/>
      <c r="R11" s="745"/>
      <c r="S11" s="738"/>
      <c r="T11" s="319"/>
      <c r="U11" s="1001"/>
      <c r="V11" s="877" t="str">
        <f>VLOOKUP(D11,Poeng!$B$10:$BC$252,Poeng!AK$1,FALSE)&amp;" c. "&amp;ROUND(VLOOKUP(D11,Poeng!$B$10:$BC$252,Poeng!AG$1,FALSE)*100,1)&amp;" %"</f>
        <v>0 c. 0 %</v>
      </c>
      <c r="W11" s="877" t="str">
        <f>VLOOKUP(D11,Poeng!$B$10:$BK$252,Poeng!BK$1,FALSE)</f>
        <v>N/A</v>
      </c>
      <c r="X11" s="81"/>
      <c r="Y11" s="80"/>
      <c r="Z11" s="738"/>
      <c r="AA11" s="133"/>
      <c r="AB11" s="640" t="s">
        <v>13</v>
      </c>
      <c r="AC11" s="107">
        <f t="shared" si="0"/>
        <v>1</v>
      </c>
      <c r="AD11" s="3" t="e">
        <f>VLOOKUP(K11,'Assessment Details'!$O$45:$P$48,2,FALSE)</f>
        <v>#N/A</v>
      </c>
      <c r="AE11" s="3" t="e">
        <f>VLOOKUP(R11,'Assessment Details'!$O$45:$P$48,2,FALSE)</f>
        <v>#N/A</v>
      </c>
      <c r="AF11" s="3" t="e">
        <f>VLOOKUP(Y11,'Assessment Details'!$O$45:$P$48,2,FALSE)</f>
        <v>#N/A</v>
      </c>
      <c r="AI11" s="70"/>
      <c r="AJ11" s="670" t="s">
        <v>307</v>
      </c>
      <c r="AK11" s="648" t="s">
        <v>13</v>
      </c>
      <c r="AL11" s="652" t="s">
        <v>12</v>
      </c>
      <c r="AM11" s="70"/>
      <c r="AN11" s="70"/>
      <c r="AO11" s="70"/>
      <c r="AP11" s="70"/>
      <c r="AS11" s="23" t="str">
        <f>IF($AJ$4=ais_nei,AIS_NA,IF(AK11="",AIS_NA,AK11))</f>
        <v>N/A</v>
      </c>
      <c r="AT11" s="23" t="str">
        <f t="shared" ref="AT11:AT92" si="1">IF($AJ$4=ais_nei,AIS_NA,IF(AL11="",AIS_NA,AL11))</f>
        <v>N/A</v>
      </c>
      <c r="AU11" s="23" t="str">
        <f t="shared" ref="AU11:AU92" si="2">IF($AJ$4=ais_nei,AIS_NA,IF(AM11="",AIS_NA,AM11))</f>
        <v>N/A</v>
      </c>
      <c r="AV11" s="23"/>
      <c r="AW11" s="23"/>
      <c r="AX11" s="23"/>
      <c r="AY11" s="23"/>
      <c r="AZ11" s="640"/>
      <c r="BA11" s="23"/>
      <c r="BB11" s="23"/>
      <c r="BC11" s="23"/>
      <c r="BD11" s="18"/>
      <c r="BE11" s="18"/>
      <c r="BF11" s="18"/>
    </row>
    <row r="12" spans="1:58" x14ac:dyDescent="0.25">
      <c r="A12" s="1077">
        <v>3</v>
      </c>
      <c r="B12" s="1076" t="s">
        <v>63</v>
      </c>
      <c r="C12" s="1083" t="s">
        <v>93</v>
      </c>
      <c r="D12" s="19" t="s">
        <v>712</v>
      </c>
      <c r="E12" s="861" t="str">
        <f>VLOOKUP(D12,Poeng!$B$10:$R$252,Poeng!E$1,FALSE)</f>
        <v>Planning project delivery</v>
      </c>
      <c r="F12" s="122">
        <f>VLOOKUP(D12,Poeng!$B$10:$AB$252,Poeng!AB$1,FALSE)</f>
        <v>1</v>
      </c>
      <c r="G12" s="43"/>
      <c r="H12" s="123">
        <f>VLOOKUP(D12,Poeng!$B$10:$AE$252,Poeng!AE$1,FALSE)</f>
        <v>0</v>
      </c>
      <c r="I12" s="124" t="str">
        <f>VLOOKUP(D12,Poeng!$B$10:$BE$252,Poeng!BE$1,FALSE)</f>
        <v>Very Good</v>
      </c>
      <c r="J12" s="80"/>
      <c r="K12" s="281"/>
      <c r="L12" s="796"/>
      <c r="M12" s="1098"/>
      <c r="N12" s="83"/>
      <c r="O12" s="123">
        <f>VLOOKUP(D12,Poeng!$B$10:$BC$252,Poeng!AF$1,FALSE)</f>
        <v>0</v>
      </c>
      <c r="P12" s="123" t="str">
        <f>VLOOKUP(D12,Poeng!$B$10:$BH$252,Poeng!BH$1,FALSE)</f>
        <v>Very Good</v>
      </c>
      <c r="Q12" s="744"/>
      <c r="R12" s="745"/>
      <c r="S12" s="738"/>
      <c r="T12" s="319"/>
      <c r="U12" s="83"/>
      <c r="V12" s="123">
        <f>VLOOKUP(D12,Poeng!$B$10:$BC$252,Poeng!AG$1,FALSE)</f>
        <v>0</v>
      </c>
      <c r="W12" s="123" t="str">
        <f>VLOOKUP(D12,Poeng!$B$10:$BK$252,Poeng!BK$1,FALSE)</f>
        <v>Very Good</v>
      </c>
      <c r="X12" s="81"/>
      <c r="Y12" s="80"/>
      <c r="Z12" s="738"/>
      <c r="AC12" s="107">
        <f t="shared" si="0"/>
        <v>1</v>
      </c>
      <c r="AD12" s="3" t="e">
        <f>VLOOKUP(K12,'Assessment Details'!$O$45:$P$48,2,FALSE)</f>
        <v>#N/A</v>
      </c>
      <c r="AE12" s="3" t="e">
        <f>VLOOKUP(R12,'Assessment Details'!$O$45:$P$48,2,FALSE)</f>
        <v>#N/A</v>
      </c>
      <c r="AF12" s="3" t="e">
        <f>VLOOKUP(Y12,'Assessment Details'!$O$45:$P$48,2,FALSE)</f>
        <v>#N/A</v>
      </c>
    </row>
    <row r="13" spans="1:58" ht="30" x14ac:dyDescent="0.25">
      <c r="A13" s="1077">
        <v>4</v>
      </c>
      <c r="B13" s="1076" t="s">
        <v>63</v>
      </c>
      <c r="C13" s="1083" t="s">
        <v>93</v>
      </c>
      <c r="D13" s="19" t="s">
        <v>713</v>
      </c>
      <c r="E13" s="1072" t="str">
        <f>VLOOKUP(D13,Poeng!$B$10:$R$252,Poeng!E$1,FALSE)</f>
        <v>Climate gas calculation for whole building life cycle (EU taxonomy requirement: criterion 2-3)</v>
      </c>
      <c r="F13" s="122">
        <f>VLOOKUP(D13,Poeng!$B$10:$AB$252,Poeng!AB$1,FALSE)</f>
        <v>1</v>
      </c>
      <c r="G13" s="43"/>
      <c r="H13" s="123">
        <f>VLOOKUP(D13,Poeng!$B$10:$AE$252,Poeng!AE$1,FALSE)</f>
        <v>0</v>
      </c>
      <c r="I13" s="124" t="str">
        <f>VLOOKUP(D13,Poeng!$B$10:$BE$252,Poeng!BE$1,FALSE)</f>
        <v>Very Good</v>
      </c>
      <c r="J13" s="80"/>
      <c r="K13" s="281"/>
      <c r="L13" s="796"/>
      <c r="M13" s="1098"/>
      <c r="N13" s="83"/>
      <c r="O13" s="123">
        <f>VLOOKUP(D13,Poeng!$B$10:$BC$252,Poeng!AF$1,FALSE)</f>
        <v>0</v>
      </c>
      <c r="P13" s="123" t="str">
        <f>VLOOKUP(D13,Poeng!$B$10:$BH$252,Poeng!BH$1,FALSE)</f>
        <v>Very Good</v>
      </c>
      <c r="Q13" s="744"/>
      <c r="R13" s="745"/>
      <c r="S13" s="738"/>
      <c r="T13" s="319"/>
      <c r="U13" s="83"/>
      <c r="V13" s="123">
        <f>VLOOKUP(D13,Poeng!$B$10:$BC$252,Poeng!AG$1,FALSE)</f>
        <v>0</v>
      </c>
      <c r="W13" s="123" t="str">
        <f>VLOOKUP(D13,Poeng!$B$10:$BK$252,Poeng!BK$1,FALSE)</f>
        <v>Very Good</v>
      </c>
      <c r="X13" s="81"/>
      <c r="Y13" s="80"/>
      <c r="Z13" s="738"/>
      <c r="AC13" s="107">
        <f t="shared" si="0"/>
        <v>1</v>
      </c>
      <c r="AD13" s="3" t="e">
        <f>VLOOKUP(K13,'Assessment Details'!$O$45:$P$48,2,FALSE)</f>
        <v>#N/A</v>
      </c>
      <c r="AE13" s="3" t="e">
        <f>VLOOKUP(R13,'Assessment Details'!$O$45:$P$48,2,FALSE)</f>
        <v>#N/A</v>
      </c>
      <c r="AF13" s="3" t="e">
        <f>VLOOKUP(Y13,'Assessment Details'!$O$45:$P$48,2,FALSE)</f>
        <v>#N/A</v>
      </c>
    </row>
    <row r="14" spans="1:58" x14ac:dyDescent="0.25">
      <c r="A14" s="1077">
        <v>5</v>
      </c>
      <c r="B14" s="1076" t="s">
        <v>63</v>
      </c>
      <c r="C14" s="1083" t="s">
        <v>93</v>
      </c>
      <c r="D14" s="19" t="s">
        <v>714</v>
      </c>
      <c r="E14" s="861" t="str">
        <f>VLOOKUP(D14,Poeng!$B$10:$R$252,Poeng!E$1,FALSE)</f>
        <v>Third party stakeholder consultation</v>
      </c>
      <c r="F14" s="122">
        <f>VLOOKUP(D14,Poeng!$B$10:$AB$252,Poeng!AB$1,FALSE)</f>
        <v>1</v>
      </c>
      <c r="G14" s="43"/>
      <c r="H14" s="123">
        <f>VLOOKUP(D14,Poeng!$B$10:$AE$252,Poeng!AE$1,FALSE)</f>
        <v>0</v>
      </c>
      <c r="I14" s="124" t="str">
        <f>VLOOKUP(D14,Poeng!$B$10:$BE$252,Poeng!BE$1,FALSE)</f>
        <v>N/A</v>
      </c>
      <c r="J14" s="80"/>
      <c r="K14" s="281"/>
      <c r="L14" s="738"/>
      <c r="M14" s="1098"/>
      <c r="N14" s="83"/>
      <c r="O14" s="123">
        <f>VLOOKUP(D14,Poeng!$B$10:$BC$252,Poeng!AF$1,FALSE)</f>
        <v>0</v>
      </c>
      <c r="P14" s="123" t="str">
        <f>VLOOKUP(D14,Poeng!$B$10:$BH$252,Poeng!BH$1,FALSE)</f>
        <v>N/A</v>
      </c>
      <c r="Q14" s="744"/>
      <c r="R14" s="745"/>
      <c r="S14" s="738"/>
      <c r="T14" s="319"/>
      <c r="U14" s="83"/>
      <c r="V14" s="123">
        <f>VLOOKUP(D14,Poeng!$B$10:$BC$252,Poeng!AG$1,FALSE)</f>
        <v>0</v>
      </c>
      <c r="W14" s="123" t="str">
        <f>VLOOKUP(D14,Poeng!$B$10:$BK$252,Poeng!BK$1,FALSE)</f>
        <v>N/A</v>
      </c>
      <c r="X14" s="81"/>
      <c r="Y14" s="80"/>
      <c r="Z14" s="738"/>
      <c r="AC14" s="107">
        <f t="shared" si="0"/>
        <v>1</v>
      </c>
      <c r="AD14" s="3" t="e">
        <f>VLOOKUP(K14,'Assessment Details'!$O$45:$P$48,2,FALSE)</f>
        <v>#N/A</v>
      </c>
      <c r="AE14" s="3" t="e">
        <f>VLOOKUP(R14,'Assessment Details'!$O$45:$P$48,2,FALSE)</f>
        <v>#N/A</v>
      </c>
      <c r="AF14" s="3" t="e">
        <f>VLOOKUP(Y14,'Assessment Details'!$O$45:$P$48,2,FALSE)</f>
        <v>#N/A</v>
      </c>
    </row>
    <row r="15" spans="1:58" x14ac:dyDescent="0.25">
      <c r="A15" s="1077">
        <v>6</v>
      </c>
      <c r="B15" s="1076" t="s">
        <v>63</v>
      </c>
      <c r="C15" s="1083" t="s">
        <v>93</v>
      </c>
      <c r="D15" s="19" t="s">
        <v>715</v>
      </c>
      <c r="E15" s="861" t="str">
        <f>VLOOKUP(D15,Poeng!$B$10:$R$252,Poeng!E$1,FALSE)</f>
        <v>BREEAM-NOR AP (stage 2 and 3)</v>
      </c>
      <c r="F15" s="122">
        <f>VLOOKUP(D15,Poeng!$B$10:$AB$252,Poeng!AB$1,FALSE)</f>
        <v>1</v>
      </c>
      <c r="G15" s="43"/>
      <c r="H15" s="123">
        <f>VLOOKUP(D15,Poeng!$B$10:$AE$252,Poeng!AE$1,FALSE)</f>
        <v>0</v>
      </c>
      <c r="I15" s="124" t="str">
        <f>VLOOKUP(D15,Poeng!$B$10:$BE$252,Poeng!BE$1,FALSE)</f>
        <v>N/A</v>
      </c>
      <c r="J15" s="80"/>
      <c r="K15" s="281"/>
      <c r="L15" s="796"/>
      <c r="M15" s="1098"/>
      <c r="N15" s="83"/>
      <c r="O15" s="123">
        <f>VLOOKUP(D15,Poeng!$B$10:$BC$252,Poeng!AF$1,FALSE)</f>
        <v>0</v>
      </c>
      <c r="P15" s="123" t="str">
        <f>VLOOKUP(D15,Poeng!$B$10:$BH$252,Poeng!BH$1,FALSE)</f>
        <v>N/A</v>
      </c>
      <c r="Q15" s="744"/>
      <c r="R15" s="745"/>
      <c r="S15" s="738"/>
      <c r="T15" s="319"/>
      <c r="U15" s="83"/>
      <c r="V15" s="123">
        <f>VLOOKUP(D15,Poeng!$B$10:$BC$252,Poeng!AG$1,FALSE)</f>
        <v>0</v>
      </c>
      <c r="W15" s="123" t="str">
        <f>VLOOKUP(D15,Poeng!$B$10:$BK$252,Poeng!BK$1,FALSE)</f>
        <v>N/A</v>
      </c>
      <c r="X15" s="81"/>
      <c r="Y15" s="80"/>
      <c r="Z15" s="738"/>
      <c r="AC15" s="107">
        <f t="shared" si="0"/>
        <v>1</v>
      </c>
      <c r="AD15" s="3" t="e">
        <f>VLOOKUP(K15,'Assessment Details'!$O$45:$P$48,2,FALSE)</f>
        <v>#N/A</v>
      </c>
      <c r="AE15" s="3" t="e">
        <f>VLOOKUP(R15,'Assessment Details'!$O$45:$P$48,2,FALSE)</f>
        <v>#N/A</v>
      </c>
      <c r="AF15" s="3" t="e">
        <f>VLOOKUP(Y15,'Assessment Details'!$O$45:$P$48,2,FALSE)</f>
        <v>#N/A</v>
      </c>
    </row>
    <row r="16" spans="1:58" x14ac:dyDescent="0.25">
      <c r="A16" s="1077">
        <v>7</v>
      </c>
      <c r="B16" s="1076" t="s">
        <v>63</v>
      </c>
      <c r="C16" s="1083" t="s">
        <v>93</v>
      </c>
      <c r="D16" s="19" t="s">
        <v>716</v>
      </c>
      <c r="E16" s="861" t="str">
        <f>VLOOKUP(D16,Poeng!$B$10:$R$252,Poeng!E$1,FALSE)</f>
        <v>BREEAM-NOR AP (stage 4)</v>
      </c>
      <c r="F16" s="122">
        <f>VLOOKUP(D16,Poeng!$B$10:$AB$252,Poeng!AB$1,FALSE)</f>
        <v>1</v>
      </c>
      <c r="G16" s="43"/>
      <c r="H16" s="123">
        <f>VLOOKUP(D16,Poeng!$B$10:$AE$252,Poeng!AE$1,FALSE)</f>
        <v>0</v>
      </c>
      <c r="I16" s="124" t="str">
        <f>VLOOKUP(D16,Poeng!$B$10:$BE$252,Poeng!BE$1,FALSE)</f>
        <v>N/A</v>
      </c>
      <c r="J16" s="80"/>
      <c r="K16" s="281"/>
      <c r="L16" s="796"/>
      <c r="M16" s="1098"/>
      <c r="N16" s="83"/>
      <c r="O16" s="123">
        <f>VLOOKUP(D16,Poeng!$B$10:$BC$252,Poeng!AF$1,FALSE)</f>
        <v>0</v>
      </c>
      <c r="P16" s="123" t="str">
        <f>VLOOKUP(D16,Poeng!$B$10:$BH$252,Poeng!BH$1,FALSE)</f>
        <v>N/A</v>
      </c>
      <c r="Q16" s="744"/>
      <c r="R16" s="745"/>
      <c r="S16" s="738"/>
      <c r="T16" s="319"/>
      <c r="U16" s="83"/>
      <c r="V16" s="123">
        <f>VLOOKUP(D16,Poeng!$B$10:$BC$252,Poeng!AG$1,FALSE)</f>
        <v>0</v>
      </c>
      <c r="W16" s="123" t="str">
        <f>VLOOKUP(D16,Poeng!$B$10:$BK$252,Poeng!BK$1,FALSE)</f>
        <v>N/A</v>
      </c>
      <c r="X16" s="81"/>
      <c r="Y16" s="80"/>
      <c r="Z16" s="738"/>
      <c r="AC16" s="107">
        <f t="shared" si="0"/>
        <v>1</v>
      </c>
      <c r="AD16" s="3" t="e">
        <f>VLOOKUP(K16,'Assessment Details'!$O$45:$P$48,2,FALSE)</f>
        <v>#N/A</v>
      </c>
      <c r="AE16" s="3" t="e">
        <f>VLOOKUP(R16,'Assessment Details'!$O$45:$P$48,2,FALSE)</f>
        <v>#N/A</v>
      </c>
      <c r="AF16" s="3" t="e">
        <f>VLOOKUP(Y16,'Assessment Details'!$O$45:$P$48,2,FALSE)</f>
        <v>#N/A</v>
      </c>
    </row>
    <row r="17" spans="1:58" x14ac:dyDescent="0.25">
      <c r="A17" s="1077">
        <v>8</v>
      </c>
      <c r="B17" s="1076" t="s">
        <v>63</v>
      </c>
      <c r="C17" s="924" t="s">
        <v>94</v>
      </c>
      <c r="D17" s="824" t="s">
        <v>94</v>
      </c>
      <c r="E17" s="860" t="str">
        <f>VLOOKUP(D17,Poeng!$B$10:$R$252,Poeng!E$1,FALSE)</f>
        <v>Man 02 Life cycle cost and service life planning</v>
      </c>
      <c r="F17" s="865">
        <f>VLOOKUP(D17,Poeng!$B$10:$AB$252,Poeng!AB$1,FALSE)</f>
        <v>3</v>
      </c>
      <c r="G17" s="1001"/>
      <c r="H17" s="866" t="str">
        <f>VLOOKUP(D17,Poeng!$B$10:$AI$252,Poeng!AI$1,FALSE)&amp;" c. "&amp;ROUND(VLOOKUP(D17,Poeng!$B$10:$AE$252,Poeng!AE$1,FALSE)*100,1)&amp;" %"</f>
        <v>0 c. 0 %</v>
      </c>
      <c r="I17" s="924" t="str">
        <f>VLOOKUP(D17,Poeng!$B$10:$BE$252,Poeng!BE$1,FALSE)</f>
        <v>N/A</v>
      </c>
      <c r="J17" s="80"/>
      <c r="K17" s="281"/>
      <c r="L17" s="796"/>
      <c r="M17" s="816"/>
      <c r="N17" s="1001"/>
      <c r="O17" s="877" t="str">
        <f>VLOOKUP(D17,Poeng!$B$10:$BC$252,Poeng!AJ$1,FALSE)&amp;" c. "&amp;ROUND(VLOOKUP(D17,Poeng!$B$10:$BC$252,Poeng!AF$1,FALSE)*100,1)&amp;" %"</f>
        <v>0 c. 0 %</v>
      </c>
      <c r="P17" s="123" t="str">
        <f>VLOOKUP(D17,Poeng!$B$10:$BH$252,Poeng!BH$1,FALSE)</f>
        <v>N/A</v>
      </c>
      <c r="Q17" s="744"/>
      <c r="R17" s="745"/>
      <c r="S17" s="738"/>
      <c r="T17" s="319"/>
      <c r="U17" s="1001"/>
      <c r="V17" s="877" t="str">
        <f>VLOOKUP(D17,Poeng!$B$10:$BC$252,Poeng!AK$1,FALSE)&amp;" c. "&amp;ROUND(VLOOKUP(D17,Poeng!$B$10:$BC$252,Poeng!AG$1,FALSE)*100,1)&amp;" %"</f>
        <v>0 c. 0 %</v>
      </c>
      <c r="W17" s="123" t="str">
        <f>VLOOKUP(D17,Poeng!$B$10:$BK$252,Poeng!BK$1,FALSE)</f>
        <v>N/A</v>
      </c>
      <c r="X17" s="81"/>
      <c r="Y17" s="80"/>
      <c r="Z17" s="738"/>
      <c r="AA17" s="133"/>
      <c r="AB17" s="640" t="s">
        <v>13</v>
      </c>
      <c r="AC17" s="107">
        <f t="shared" si="0"/>
        <v>1</v>
      </c>
      <c r="AD17" s="3" t="e">
        <f>VLOOKUP(K17,'Assessment Details'!$O$45:$P$48,2,FALSE)</f>
        <v>#N/A</v>
      </c>
      <c r="AE17" s="3" t="e">
        <f>VLOOKUP(R17,'Assessment Details'!$O$45:$P$48,2,FALSE)</f>
        <v>#N/A</v>
      </c>
      <c r="AF17" s="3" t="e">
        <f>VLOOKUP(Y17,'Assessment Details'!$O$45:$P$48,2,FALSE)</f>
        <v>#N/A</v>
      </c>
      <c r="AI17" s="70"/>
      <c r="AJ17" s="670" t="s">
        <v>308</v>
      </c>
      <c r="AK17" s="648" t="s">
        <v>13</v>
      </c>
      <c r="AL17" s="652" t="s">
        <v>12</v>
      </c>
      <c r="AM17" s="70"/>
      <c r="AN17" s="70"/>
      <c r="AO17" s="70"/>
      <c r="AP17" s="70"/>
      <c r="AS17" s="23" t="str">
        <f t="shared" ref="AS17:AS92" si="3">IF($AJ$4=ais_nei,AIS_NA,IF(AK17="",AIS_NA,AK17))</f>
        <v>N/A</v>
      </c>
      <c r="AT17" s="23" t="str">
        <f t="shared" si="1"/>
        <v>N/A</v>
      </c>
      <c r="AU17" s="23" t="str">
        <f t="shared" si="2"/>
        <v>N/A</v>
      </c>
      <c r="AV17" s="23"/>
      <c r="AW17" s="23"/>
      <c r="AX17" s="23"/>
      <c r="AY17" s="18"/>
      <c r="AZ17" s="640"/>
      <c r="BA17" s="18"/>
      <c r="BB17" s="18"/>
      <c r="BC17" s="18"/>
      <c r="BD17" s="18"/>
      <c r="BE17" s="18"/>
      <c r="BF17" s="18"/>
    </row>
    <row r="18" spans="1:58" x14ac:dyDescent="0.25">
      <c r="A18" s="1077">
        <v>9</v>
      </c>
      <c r="B18" s="1076" t="s">
        <v>63</v>
      </c>
      <c r="C18" s="1083" t="s">
        <v>94</v>
      </c>
      <c r="D18" s="824" t="s">
        <v>717</v>
      </c>
      <c r="E18" s="861" t="str">
        <f>VLOOKUP(D18,Poeng!$B$10:$R$252,Poeng!E$1,FALSE)</f>
        <v>Elemental life cycle cost (LCC) and capital cost reporting</v>
      </c>
      <c r="F18" s="122">
        <f>VLOOKUP(D18,Poeng!$B$10:$AB$252,Poeng!AB$1,FALSE)</f>
        <v>2</v>
      </c>
      <c r="G18" s="43"/>
      <c r="H18" s="123">
        <f>VLOOKUP(D18,Poeng!$B$10:$AE$252,Poeng!AE$1,FALSE)</f>
        <v>0</v>
      </c>
      <c r="I18" s="124" t="str">
        <f>VLOOKUP(D18,Poeng!$B$10:$BE$252,Poeng!BE$1,FALSE)</f>
        <v>N/A</v>
      </c>
      <c r="J18" s="80"/>
      <c r="K18" s="281"/>
      <c r="L18" s="796"/>
      <c r="M18" s="816"/>
      <c r="N18" s="83"/>
      <c r="O18" s="123">
        <f>VLOOKUP(D18,Poeng!$B$10:$BC$252,Poeng!AF$1,FALSE)</f>
        <v>0</v>
      </c>
      <c r="P18" s="123" t="str">
        <f>VLOOKUP(D18,Poeng!$B$10:$BH$252,Poeng!BH$1,FALSE)</f>
        <v>N/A</v>
      </c>
      <c r="Q18" s="744"/>
      <c r="R18" s="745"/>
      <c r="S18" s="738"/>
      <c r="T18" s="319"/>
      <c r="U18" s="83"/>
      <c r="V18" s="123">
        <f>VLOOKUP(D18,Poeng!$B$10:$BC$252,Poeng!AG$1,FALSE)</f>
        <v>0</v>
      </c>
      <c r="W18" s="123" t="str">
        <f>VLOOKUP(D18,Poeng!$B$10:$BK$252,Poeng!BK$1,FALSE)</f>
        <v>N/A</v>
      </c>
      <c r="X18" s="81"/>
      <c r="Y18" s="80"/>
      <c r="Z18" s="738"/>
      <c r="AA18" s="133"/>
      <c r="AB18" s="640"/>
      <c r="AC18" s="107">
        <f t="shared" si="0"/>
        <v>1</v>
      </c>
      <c r="AD18" s="3" t="e">
        <f>VLOOKUP(K18,'Assessment Details'!$O$45:$P$48,2,FALSE)</f>
        <v>#N/A</v>
      </c>
      <c r="AE18" s="3" t="e">
        <f>VLOOKUP(R18,'Assessment Details'!$O$45:$P$48,2,FALSE)</f>
        <v>#N/A</v>
      </c>
      <c r="AF18" s="3" t="e">
        <f>VLOOKUP(Y18,'Assessment Details'!$O$45:$P$48,2,FALSE)</f>
        <v>#N/A</v>
      </c>
      <c r="AI18" s="70"/>
      <c r="AJ18" s="670"/>
      <c r="AK18" s="648"/>
      <c r="AL18" s="652"/>
      <c r="AM18" s="70"/>
      <c r="AN18" s="70"/>
      <c r="AO18" s="70"/>
      <c r="AP18" s="70"/>
      <c r="AS18" s="23"/>
      <c r="AT18" s="23"/>
      <c r="AU18" s="23"/>
      <c r="AV18" s="23"/>
      <c r="AW18" s="23"/>
      <c r="AX18" s="23"/>
      <c r="AY18" s="18"/>
      <c r="AZ18" s="640"/>
      <c r="BA18" s="18"/>
      <c r="BB18" s="18"/>
      <c r="BC18" s="18"/>
      <c r="BD18" s="18"/>
      <c r="BE18" s="18"/>
      <c r="BF18" s="18"/>
    </row>
    <row r="19" spans="1:58" x14ac:dyDescent="0.25">
      <c r="A19" s="1077">
        <v>10</v>
      </c>
      <c r="B19" s="1076" t="s">
        <v>63</v>
      </c>
      <c r="C19" s="1083" t="s">
        <v>94</v>
      </c>
      <c r="D19" s="824" t="s">
        <v>718</v>
      </c>
      <c r="E19" s="861" t="str">
        <f>VLOOKUP(D19,Poeng!$B$10:$R$252,Poeng!E$1,FALSE)</f>
        <v>Component level life option appraisal</v>
      </c>
      <c r="F19" s="122">
        <f>VLOOKUP(D19,Poeng!$B$10:$AB$252,Poeng!AB$1,FALSE)</f>
        <v>1</v>
      </c>
      <c r="G19" s="43"/>
      <c r="H19" s="123">
        <f>VLOOKUP(D19,Poeng!$B$10:$AE$252,Poeng!AE$1,FALSE)</f>
        <v>0</v>
      </c>
      <c r="I19" s="124" t="str">
        <f>VLOOKUP(D19,Poeng!$B$10:$BE$252,Poeng!BE$1,FALSE)</f>
        <v>N/A</v>
      </c>
      <c r="J19" s="80"/>
      <c r="K19" s="281"/>
      <c r="L19" s="796"/>
      <c r="M19" s="816"/>
      <c r="N19" s="83"/>
      <c r="O19" s="123">
        <f>VLOOKUP(D19,Poeng!$B$10:$BC$252,Poeng!AF$1,FALSE)</f>
        <v>0</v>
      </c>
      <c r="P19" s="123" t="str">
        <f>VLOOKUP(D19,Poeng!$B$10:$BH$252,Poeng!BH$1,FALSE)</f>
        <v>N/A</v>
      </c>
      <c r="Q19" s="744"/>
      <c r="R19" s="745"/>
      <c r="S19" s="738"/>
      <c r="T19" s="319"/>
      <c r="U19" s="83"/>
      <c r="V19" s="123">
        <f>VLOOKUP(D19,Poeng!$B$10:$BC$252,Poeng!AG$1,FALSE)</f>
        <v>0</v>
      </c>
      <c r="W19" s="123" t="str">
        <f>VLOOKUP(D19,Poeng!$B$10:$BK$252,Poeng!BK$1,FALSE)</f>
        <v>N/A</v>
      </c>
      <c r="X19" s="81"/>
      <c r="Y19" s="80"/>
      <c r="Z19" s="738"/>
      <c r="AA19" s="133"/>
      <c r="AB19" s="640"/>
      <c r="AC19" s="107">
        <f t="shared" si="0"/>
        <v>1</v>
      </c>
      <c r="AD19" s="3" t="e">
        <f>VLOOKUP(K19,'Assessment Details'!$O$45:$P$48,2,FALSE)</f>
        <v>#N/A</v>
      </c>
      <c r="AE19" s="3" t="e">
        <f>VLOOKUP(R19,'Assessment Details'!$O$45:$P$48,2,FALSE)</f>
        <v>#N/A</v>
      </c>
      <c r="AF19" s="3" t="e">
        <f>VLOOKUP(Y19,'Assessment Details'!$O$45:$P$48,2,FALSE)</f>
        <v>#N/A</v>
      </c>
      <c r="AI19" s="70"/>
      <c r="AJ19" s="670"/>
      <c r="AK19" s="648"/>
      <c r="AL19" s="652"/>
      <c r="AM19" s="70"/>
      <c r="AN19" s="70"/>
      <c r="AO19" s="70"/>
      <c r="AP19" s="70"/>
      <c r="AS19" s="23"/>
      <c r="AT19" s="23"/>
      <c r="AU19" s="23"/>
      <c r="AV19" s="23"/>
      <c r="AW19" s="23"/>
      <c r="AX19" s="23"/>
      <c r="AY19" s="18"/>
      <c r="AZ19" s="640"/>
      <c r="BA19" s="18"/>
      <c r="BB19" s="18"/>
      <c r="BC19" s="18"/>
      <c r="BD19" s="18"/>
      <c r="BE19" s="18"/>
      <c r="BF19" s="18"/>
    </row>
    <row r="20" spans="1:58" x14ac:dyDescent="0.25">
      <c r="A20" s="1077">
        <v>11</v>
      </c>
      <c r="B20" s="1076" t="s">
        <v>63</v>
      </c>
      <c r="C20" s="924" t="s">
        <v>95</v>
      </c>
      <c r="D20" s="824" t="s">
        <v>95</v>
      </c>
      <c r="E20" s="860" t="str">
        <f>VLOOKUP(D20,Poeng!$B$10:$R$252,Poeng!E$1,FALSE)</f>
        <v>Man 03 Responsible construction practices</v>
      </c>
      <c r="F20" s="865">
        <f>VLOOKUP(D20,Poeng!$B$10:$AB$252,Poeng!AB$1,FALSE)</f>
        <v>7</v>
      </c>
      <c r="G20" s="1001"/>
      <c r="H20" s="866" t="str">
        <f>VLOOKUP(D20,Poeng!$B$10:$AI$252,Poeng!AI$1,FALSE)&amp;" c. "&amp;ROUND(VLOOKUP(D20,Poeng!$B$10:$AE$252,Poeng!AE$1,FALSE)*100,1)&amp;" %"</f>
        <v>0 c. 0 %</v>
      </c>
      <c r="I20" s="924" t="str">
        <f>VLOOKUP(D20,Poeng!$B$10:$BE$252,Poeng!BE$1,FALSE)</f>
        <v>N/A</v>
      </c>
      <c r="J20" s="80"/>
      <c r="K20" s="281"/>
      <c r="L20" s="796"/>
      <c r="M20" s="815"/>
      <c r="N20" s="1001"/>
      <c r="O20" s="877" t="str">
        <f>VLOOKUP(D20,Poeng!$B$10:$BC$252,Poeng!AJ$1,FALSE)&amp;" c. "&amp;ROUND(VLOOKUP(D20,Poeng!$B$10:$BC$252,Poeng!AF$1,FALSE)*100,1)&amp;" %"</f>
        <v>0 c. 0 %</v>
      </c>
      <c r="P20" s="123" t="str">
        <f>VLOOKUP(D20,Poeng!$B$10:$BH$252,Poeng!BH$1,FALSE)</f>
        <v>N/A</v>
      </c>
      <c r="Q20" s="744"/>
      <c r="R20" s="745"/>
      <c r="S20" s="738"/>
      <c r="T20" s="319"/>
      <c r="U20" s="1001"/>
      <c r="V20" s="877" t="str">
        <f>VLOOKUP(D20,Poeng!$B$10:$BC$252,Poeng!AK$1,FALSE)&amp;" c. "&amp;ROUND(VLOOKUP(D20,Poeng!$B$10:$BC$252,Poeng!AG$1,FALSE)*100,1)&amp;" %"</f>
        <v>0 c. 0 %</v>
      </c>
      <c r="W20" s="123" t="str">
        <f>VLOOKUP(D20,Poeng!$B$10:$BK$252,Poeng!BK$1,FALSE)</f>
        <v>N/A</v>
      </c>
      <c r="X20" s="81"/>
      <c r="Y20" s="80"/>
      <c r="Z20" s="738"/>
      <c r="AA20" s="133"/>
      <c r="AB20" s="640" t="s">
        <v>14</v>
      </c>
      <c r="AC20" s="107">
        <f t="shared" si="0"/>
        <v>1</v>
      </c>
      <c r="AD20" s="3" t="e">
        <f>VLOOKUP(K20,'Assessment Details'!$O$45:$P$48,2,FALSE)</f>
        <v>#N/A</v>
      </c>
      <c r="AE20" s="3" t="e">
        <f>VLOOKUP(R20,'Assessment Details'!$O$45:$P$48,2,FALSE)</f>
        <v>#N/A</v>
      </c>
      <c r="AF20" s="3" t="e">
        <f>VLOOKUP(Y20,'Assessment Details'!$O$45:$P$48,2,FALSE)</f>
        <v>#N/A</v>
      </c>
      <c r="AI20" s="70"/>
      <c r="AJ20" s="670" t="s">
        <v>309</v>
      </c>
      <c r="AK20" s="70"/>
      <c r="AL20" s="70"/>
      <c r="AM20" s="70"/>
      <c r="AN20" s="70"/>
      <c r="AO20" s="70"/>
      <c r="AP20" s="70"/>
      <c r="AS20" s="23" t="str">
        <f t="shared" si="3"/>
        <v>N/A</v>
      </c>
      <c r="AT20" s="23" t="str">
        <f t="shared" si="1"/>
        <v>N/A</v>
      </c>
      <c r="AU20" s="23" t="str">
        <f t="shared" si="2"/>
        <v>N/A</v>
      </c>
      <c r="AV20" s="23"/>
      <c r="AW20" s="23"/>
      <c r="AX20" s="23"/>
      <c r="AY20" s="18"/>
      <c r="AZ20" s="640"/>
      <c r="BA20" s="18"/>
      <c r="BB20" s="18"/>
      <c r="BC20" s="18"/>
      <c r="BD20" s="18"/>
      <c r="BE20" s="18"/>
      <c r="BF20" s="18"/>
    </row>
    <row r="21" spans="1:58" x14ac:dyDescent="0.25">
      <c r="A21" s="1077">
        <v>12</v>
      </c>
      <c r="B21" s="1076" t="s">
        <v>63</v>
      </c>
      <c r="C21" s="1083" t="s">
        <v>95</v>
      </c>
      <c r="D21" s="19" t="s">
        <v>719</v>
      </c>
      <c r="E21" s="861" t="str">
        <f>VLOOKUP(D21,Poeng!$B$10:$R$252,Poeng!E$1,FALSE)</f>
        <v>Environmental managment</v>
      </c>
      <c r="F21" s="122">
        <f>VLOOKUP(D21,Poeng!$B$10:$AB$252,Poeng!AB$1,FALSE)</f>
        <v>1</v>
      </c>
      <c r="G21" s="43"/>
      <c r="H21" s="123">
        <f>VLOOKUP(D21,Poeng!$B$10:$AE$252,Poeng!AE$1,FALSE)</f>
        <v>0</v>
      </c>
      <c r="I21" s="124" t="str">
        <f>VLOOKUP(D21,Poeng!$B$10:$BE$252,Poeng!BE$1,FALSE)</f>
        <v>N/A</v>
      </c>
      <c r="J21" s="80"/>
      <c r="K21" s="281"/>
      <c r="L21" s="796"/>
      <c r="M21" s="1098"/>
      <c r="N21" s="83"/>
      <c r="O21" s="123">
        <f>VLOOKUP(D21,Poeng!$B$10:$BC$252,Poeng!AF$1,FALSE)</f>
        <v>0</v>
      </c>
      <c r="P21" s="123" t="str">
        <f>VLOOKUP(D21,Poeng!$B$10:$BH$252,Poeng!BH$1,FALSE)</f>
        <v>N/A</v>
      </c>
      <c r="Q21" s="744"/>
      <c r="R21" s="745"/>
      <c r="S21" s="738"/>
      <c r="T21" s="319"/>
      <c r="U21" s="83"/>
      <c r="V21" s="123">
        <f>VLOOKUP(D21,Poeng!$B$10:$BC$252,Poeng!AG$1,FALSE)</f>
        <v>0</v>
      </c>
      <c r="W21" s="123" t="str">
        <f>VLOOKUP(D21,Poeng!$B$10:$BK$252,Poeng!BK$1,FALSE)</f>
        <v>N/A</v>
      </c>
      <c r="X21" s="81"/>
      <c r="Y21" s="80"/>
      <c r="Z21" s="738"/>
      <c r="AC21" s="107">
        <f t="shared" si="0"/>
        <v>1</v>
      </c>
      <c r="AD21" s="3" t="e">
        <f>VLOOKUP(K21,'Assessment Details'!$O$45:$P$48,2,FALSE)</f>
        <v>#N/A</v>
      </c>
      <c r="AE21" s="3" t="e">
        <f>VLOOKUP(R21,'Assessment Details'!$O$45:$P$48,2,FALSE)</f>
        <v>#N/A</v>
      </c>
      <c r="AF21" s="3" t="e">
        <f>VLOOKUP(Y21,'Assessment Details'!$O$45:$P$48,2,FALSE)</f>
        <v>#N/A</v>
      </c>
    </row>
    <row r="22" spans="1:58" x14ac:dyDescent="0.25">
      <c r="A22" s="1077">
        <v>13</v>
      </c>
      <c r="B22" s="1076" t="s">
        <v>63</v>
      </c>
      <c r="C22" s="1083" t="s">
        <v>95</v>
      </c>
      <c r="D22" s="19" t="s">
        <v>720</v>
      </c>
      <c r="E22" s="861" t="str">
        <f>VLOOKUP(D22,Poeng!$B$10:$R$252,Poeng!E$1,FALSE)</f>
        <v>BREEAM-NOR AP and BREEAM performance targets (stage 5 and 6)</v>
      </c>
      <c r="F22" s="122">
        <f>VLOOKUP(D22,Poeng!$B$10:$AB$252,Poeng!AB$1,FALSE)</f>
        <v>1</v>
      </c>
      <c r="G22" s="43"/>
      <c r="H22" s="123">
        <f>VLOOKUP(D22,Poeng!$B$10:$AE$252,Poeng!AE$1,FALSE)</f>
        <v>0</v>
      </c>
      <c r="I22" s="124" t="str">
        <f>VLOOKUP(D22,Poeng!$B$10:$BE$252,Poeng!BE$1,FALSE)</f>
        <v>N/A</v>
      </c>
      <c r="J22" s="80"/>
      <c r="K22" s="281"/>
      <c r="L22" s="796"/>
      <c r="M22" s="1098"/>
      <c r="N22" s="83"/>
      <c r="O22" s="123">
        <f>VLOOKUP(D22,Poeng!$B$10:$BC$252,Poeng!AF$1,FALSE)</f>
        <v>0</v>
      </c>
      <c r="P22" s="123" t="str">
        <f>VLOOKUP(D22,Poeng!$B$10:$BH$252,Poeng!BH$1,FALSE)</f>
        <v>N/A</v>
      </c>
      <c r="Q22" s="744"/>
      <c r="R22" s="745"/>
      <c r="S22" s="738"/>
      <c r="T22" s="319"/>
      <c r="U22" s="83"/>
      <c r="V22" s="123">
        <f>VLOOKUP(D22,Poeng!$B$10:$BC$252,Poeng!AG$1,FALSE)</f>
        <v>0</v>
      </c>
      <c r="W22" s="123" t="str">
        <f>VLOOKUP(D22,Poeng!$B$10:$BK$252,Poeng!BK$1,FALSE)</f>
        <v>N/A</v>
      </c>
      <c r="X22" s="81"/>
      <c r="Y22" s="80"/>
      <c r="Z22" s="738"/>
      <c r="AC22" s="107">
        <f t="shared" si="0"/>
        <v>1</v>
      </c>
      <c r="AD22" s="3" t="e">
        <f>VLOOKUP(K22,'Assessment Details'!$O$45:$P$48,2,FALSE)</f>
        <v>#N/A</v>
      </c>
      <c r="AE22" s="3" t="e">
        <f>VLOOKUP(R22,'Assessment Details'!$O$45:$P$48,2,FALSE)</f>
        <v>#N/A</v>
      </c>
      <c r="AF22" s="3" t="e">
        <f>VLOOKUP(Y22,'Assessment Details'!$O$45:$P$48,2,FALSE)</f>
        <v>#N/A</v>
      </c>
    </row>
    <row r="23" spans="1:58" ht="30" x14ac:dyDescent="0.25">
      <c r="A23" s="1077">
        <v>14</v>
      </c>
      <c r="B23" s="1076" t="s">
        <v>63</v>
      </c>
      <c r="C23" s="1083" t="s">
        <v>95</v>
      </c>
      <c r="D23" s="19" t="s">
        <v>721</v>
      </c>
      <c r="E23" s="1072" t="str">
        <f>VLOOKUP(D23,Poeng!$B$10:$R$252,Poeng!E$1,FALSE)</f>
        <v>Considerate contruction: clean and tidy building process and checklist A1 (EU taxonomy requirement: criterion 7-9)</v>
      </c>
      <c r="F23" s="122">
        <f>VLOOKUP(D23,Poeng!$B$10:$AB$252,Poeng!AB$1,FALSE)</f>
        <v>1</v>
      </c>
      <c r="G23" s="43"/>
      <c r="H23" s="123">
        <f>VLOOKUP(D23,Poeng!$B$10:$AE$252,Poeng!AE$1,FALSE)</f>
        <v>0</v>
      </c>
      <c r="I23" s="124" t="str">
        <f>VLOOKUP(D23,Poeng!$B$10:$BE$252,Poeng!BE$1,FALSE)</f>
        <v>Unclassified</v>
      </c>
      <c r="J23" s="80"/>
      <c r="K23" s="281"/>
      <c r="L23" s="796"/>
      <c r="M23" s="1098"/>
      <c r="N23" s="83"/>
      <c r="O23" s="123">
        <f>VLOOKUP(D23,Poeng!$B$10:$BC$252,Poeng!AF$1,FALSE)</f>
        <v>0</v>
      </c>
      <c r="P23" s="123" t="str">
        <f>VLOOKUP(D23,Poeng!$B$10:$BH$252,Poeng!BH$1,FALSE)</f>
        <v>Unclassified</v>
      </c>
      <c r="Q23" s="744"/>
      <c r="R23" s="745"/>
      <c r="S23" s="738"/>
      <c r="T23" s="319"/>
      <c r="U23" s="83"/>
      <c r="V23" s="123">
        <f>VLOOKUP(D23,Poeng!$B$10:$BC$252,Poeng!AG$1,FALSE)</f>
        <v>0</v>
      </c>
      <c r="W23" s="123" t="str">
        <f>VLOOKUP(D23,Poeng!$B$10:$BK$252,Poeng!BK$1,FALSE)</f>
        <v>Unclassified</v>
      </c>
      <c r="X23" s="81"/>
      <c r="Y23" s="80"/>
      <c r="Z23" s="738"/>
      <c r="AC23" s="107">
        <f t="shared" si="0"/>
        <v>1</v>
      </c>
      <c r="AD23" s="3" t="e">
        <f>VLOOKUP(K23,'Assessment Details'!$O$45:$P$48,2,FALSE)</f>
        <v>#N/A</v>
      </c>
      <c r="AE23" s="3" t="e">
        <f>VLOOKUP(R23,'Assessment Details'!$O$45:$P$48,2,FALSE)</f>
        <v>#N/A</v>
      </c>
      <c r="AF23" s="3" t="e">
        <f>VLOOKUP(Y23,'Assessment Details'!$O$45:$P$48,2,FALSE)</f>
        <v>#N/A</v>
      </c>
    </row>
    <row r="24" spans="1:58" ht="30" x14ac:dyDescent="0.25">
      <c r="A24" s="1077">
        <v>15</v>
      </c>
      <c r="B24" s="1076" t="s">
        <v>63</v>
      </c>
      <c r="C24" s="1083" t="s">
        <v>95</v>
      </c>
      <c r="D24" s="19" t="s">
        <v>722</v>
      </c>
      <c r="E24" s="1072" t="str">
        <f>VLOOKUP(D24,Poeng!$B$10:$R$252,Poeng!E$1,FALSE)</f>
        <v>Considerate contruction: INSTA 800 and checklist A1 (EU taxonomy requirement: criterion 7-9)</v>
      </c>
      <c r="F24" s="122">
        <f>VLOOKUP(D24,Poeng!$B$10:$AB$252,Poeng!AB$1,FALSE)</f>
        <v>1</v>
      </c>
      <c r="G24" s="43"/>
      <c r="H24" s="123">
        <f>VLOOKUP(D24,Poeng!$B$10:$AE$252,Poeng!AE$1,FALSE)</f>
        <v>0</v>
      </c>
      <c r="I24" s="124" t="str">
        <f>VLOOKUP(D24,Poeng!$B$10:$BE$252,Poeng!BE$1,FALSE)</f>
        <v>Good</v>
      </c>
      <c r="J24" s="80"/>
      <c r="K24" s="281"/>
      <c r="L24" s="796"/>
      <c r="M24" s="1098"/>
      <c r="N24" s="83"/>
      <c r="O24" s="123">
        <f>VLOOKUP(D24,Poeng!$B$10:$BC$252,Poeng!AF$1,FALSE)</f>
        <v>0</v>
      </c>
      <c r="P24" s="123" t="str">
        <f>VLOOKUP(D24,Poeng!$B$10:$BH$252,Poeng!BH$1,FALSE)</f>
        <v>Good</v>
      </c>
      <c r="Q24" s="744"/>
      <c r="R24" s="745"/>
      <c r="S24" s="738"/>
      <c r="T24" s="319"/>
      <c r="U24" s="83"/>
      <c r="V24" s="123">
        <f>VLOOKUP(D24,Poeng!$B$10:$BC$252,Poeng!AG$1,FALSE)</f>
        <v>0</v>
      </c>
      <c r="W24" s="123" t="str">
        <f>VLOOKUP(D24,Poeng!$B$10:$BK$252,Poeng!BK$1,FALSE)</f>
        <v>Good</v>
      </c>
      <c r="X24" s="81"/>
      <c r="Y24" s="80"/>
      <c r="Z24" s="738"/>
      <c r="AC24" s="107">
        <f t="shared" si="0"/>
        <v>1</v>
      </c>
      <c r="AD24" s="3" t="e">
        <f>VLOOKUP(K24,'Assessment Details'!$O$45:$P$48,2,FALSE)</f>
        <v>#N/A</v>
      </c>
      <c r="AE24" s="3" t="e">
        <f>VLOOKUP(R24,'Assessment Details'!$O$45:$P$48,2,FALSE)</f>
        <v>#N/A</v>
      </c>
      <c r="AF24" s="3" t="e">
        <f>VLOOKUP(Y24,'Assessment Details'!$O$45:$P$48,2,FALSE)</f>
        <v>#N/A</v>
      </c>
    </row>
    <row r="25" spans="1:58" x14ac:dyDescent="0.25">
      <c r="A25" s="1077">
        <v>16</v>
      </c>
      <c r="B25" s="1076" t="s">
        <v>63</v>
      </c>
      <c r="C25" s="1083" t="s">
        <v>95</v>
      </c>
      <c r="D25" s="19" t="s">
        <v>911</v>
      </c>
      <c r="E25" s="861" t="str">
        <f>VLOOKUP(D25,Poeng!$B$10:$R$252,Poeng!E$1,FALSE)</f>
        <v>Energy consumption from activities on the construction site (step 2-4)</v>
      </c>
      <c r="F25" s="122">
        <f>VLOOKUP(D25,Poeng!$B$10:$AB$252,Poeng!AB$1,FALSE)</f>
        <v>1</v>
      </c>
      <c r="G25" s="43"/>
      <c r="H25" s="123">
        <f>VLOOKUP(D25,Poeng!$B$10:$AE$252,Poeng!AE$1,FALSE)</f>
        <v>0</v>
      </c>
      <c r="I25" s="124" t="str">
        <f>VLOOKUP(D25,Poeng!$B$10:$BE$252,Poeng!BE$1,FALSE)</f>
        <v>Very Good</v>
      </c>
      <c r="J25" s="80"/>
      <c r="K25" s="281"/>
      <c r="L25" s="796"/>
      <c r="M25" s="1098"/>
      <c r="N25" s="83"/>
      <c r="O25" s="123">
        <f>VLOOKUP(D25,Poeng!$B$10:$BC$252,Poeng!AF$1,FALSE)</f>
        <v>0</v>
      </c>
      <c r="P25" s="123" t="str">
        <f>VLOOKUP(D25,Poeng!$B$10:$BH$252,Poeng!BH$1,FALSE)</f>
        <v>Very Good</v>
      </c>
      <c r="Q25" s="744"/>
      <c r="R25" s="745"/>
      <c r="S25" s="738"/>
      <c r="T25" s="319"/>
      <c r="U25" s="83"/>
      <c r="V25" s="123">
        <f>VLOOKUP(D25,Poeng!$B$10:$BC$252,Poeng!AG$1,FALSE)</f>
        <v>0</v>
      </c>
      <c r="W25" s="123" t="str">
        <f>VLOOKUP(D25,Poeng!$B$10:$BK$252,Poeng!BK$1,FALSE)</f>
        <v>Very Good</v>
      </c>
      <c r="X25" s="81"/>
      <c r="Y25" s="80"/>
      <c r="Z25" s="738"/>
      <c r="AC25" s="107">
        <f t="shared" si="0"/>
        <v>1</v>
      </c>
      <c r="AD25" s="3" t="e">
        <f>VLOOKUP(K25,'Assessment Details'!$O$45:$P$48,2,FALSE)</f>
        <v>#N/A</v>
      </c>
      <c r="AE25" s="3" t="e">
        <f>VLOOKUP(R25,'Assessment Details'!$O$45:$P$48,2,FALSE)</f>
        <v>#N/A</v>
      </c>
      <c r="AF25" s="3" t="e">
        <f>VLOOKUP(Y25,'Assessment Details'!$O$45:$P$48,2,FALSE)</f>
        <v>#N/A</v>
      </c>
    </row>
    <row r="26" spans="1:58" x14ac:dyDescent="0.25">
      <c r="A26" s="1077">
        <v>17</v>
      </c>
      <c r="B26" s="1076" t="s">
        <v>63</v>
      </c>
      <c r="C26" s="1083" t="s">
        <v>95</v>
      </c>
      <c r="D26" s="19" t="s">
        <v>912</v>
      </c>
      <c r="E26" s="861" t="str">
        <f>VLOOKUP(D26,Poeng!$B$10:$R$252,Poeng!E$1,FALSE)</f>
        <v>Energy consumption from transport of masses and waste (step 2-4)</v>
      </c>
      <c r="F26" s="122">
        <f>VLOOKUP(D26,Poeng!$B$10:$AB$252,Poeng!AB$1,FALSE)</f>
        <v>2</v>
      </c>
      <c r="G26" s="43"/>
      <c r="H26" s="123">
        <f>VLOOKUP(D26,Poeng!$B$10:$AE$252,Poeng!AE$1,FALSE)</f>
        <v>0</v>
      </c>
      <c r="I26" s="124" t="str">
        <f>VLOOKUP(D26,Poeng!$B$10:$BE$252,Poeng!BE$1,FALSE)</f>
        <v>Very Good</v>
      </c>
      <c r="J26" s="80"/>
      <c r="K26" s="281"/>
      <c r="L26" s="796"/>
      <c r="M26" s="1098"/>
      <c r="N26" s="83"/>
      <c r="O26" s="123">
        <f>VLOOKUP(D26,Poeng!$B$10:$BC$252,Poeng!AF$1,FALSE)</f>
        <v>0</v>
      </c>
      <c r="P26" s="123" t="str">
        <f>VLOOKUP(D26,Poeng!$B$10:$BH$252,Poeng!BH$1,FALSE)</f>
        <v>Very Good</v>
      </c>
      <c r="Q26" s="744"/>
      <c r="R26" s="745"/>
      <c r="S26" s="738"/>
      <c r="T26" s="319"/>
      <c r="U26" s="83"/>
      <c r="V26" s="123">
        <f>VLOOKUP(D26,Poeng!$B$10:$BC$252,Poeng!AG$1,FALSE)</f>
        <v>0</v>
      </c>
      <c r="W26" s="123" t="str">
        <f>VLOOKUP(D26,Poeng!$B$10:$BK$252,Poeng!BK$1,FALSE)</f>
        <v>Very Good</v>
      </c>
      <c r="X26" s="81"/>
      <c r="Y26" s="80"/>
      <c r="Z26" s="738"/>
      <c r="AC26" s="107">
        <f t="shared" si="0"/>
        <v>1</v>
      </c>
      <c r="AD26" s="3" t="e">
        <f>VLOOKUP(K26,'Assessment Details'!$O$45:$P$48,2,FALSE)</f>
        <v>#N/A</v>
      </c>
      <c r="AE26" s="3" t="e">
        <f>VLOOKUP(R26,'Assessment Details'!$O$45:$P$48,2,FALSE)</f>
        <v>#N/A</v>
      </c>
      <c r="AF26" s="3" t="e">
        <f>VLOOKUP(Y26,'Assessment Details'!$O$45:$P$48,2,FALSE)</f>
        <v>#N/A</v>
      </c>
    </row>
    <row r="27" spans="1:58" x14ac:dyDescent="0.25">
      <c r="A27" s="1077">
        <v>18</v>
      </c>
      <c r="B27" s="1076" t="s">
        <v>63</v>
      </c>
      <c r="C27" s="924" t="s">
        <v>96</v>
      </c>
      <c r="D27" s="824" t="s">
        <v>96</v>
      </c>
      <c r="E27" s="860" t="str">
        <f>VLOOKUP(D27,Poeng!$B$10:$R$252,Poeng!E$1,FALSE)</f>
        <v>Man 04 Commissioning and handover</v>
      </c>
      <c r="F27" s="865">
        <f>VLOOKUP(D27,Poeng!$B$10:$AB$252,Poeng!AB$1,FALSE)</f>
        <v>3</v>
      </c>
      <c r="G27" s="1001"/>
      <c r="H27" s="866" t="str">
        <f>VLOOKUP(D27,Poeng!$B$10:$AI$252,Poeng!AI$1,FALSE)&amp;" c. "&amp;ROUND(VLOOKUP(D27,Poeng!$B$10:$AE$252,Poeng!AE$1,FALSE)*100,1)&amp;" %"</f>
        <v>0 c. 0 %</v>
      </c>
      <c r="I27" s="924" t="str">
        <f>VLOOKUP(D27,Poeng!$B$10:$BE$252,Poeng!BE$1,FALSE)</f>
        <v>N/A</v>
      </c>
      <c r="J27" s="80"/>
      <c r="K27" s="281"/>
      <c r="L27" s="796"/>
      <c r="M27" s="816"/>
      <c r="N27" s="1001"/>
      <c r="O27" s="877" t="str">
        <f>VLOOKUP(D27,Poeng!$B$10:$BC$252,Poeng!AJ$1,FALSE)&amp;" c. "&amp;ROUND(VLOOKUP(D27,Poeng!$B$10:$BC$252,Poeng!AF$1,FALSE)*100,1)&amp;" %"</f>
        <v>0 c. 0 %</v>
      </c>
      <c r="P27" s="123" t="str">
        <f>VLOOKUP(D27,Poeng!$B$10:$BH$252,Poeng!BH$1,FALSE)</f>
        <v>N/A</v>
      </c>
      <c r="Q27" s="744"/>
      <c r="R27" s="745"/>
      <c r="S27" s="738"/>
      <c r="T27" s="319"/>
      <c r="U27" s="1001"/>
      <c r="V27" s="877" t="str">
        <f>VLOOKUP(D27,Poeng!$B$10:$BC$252,Poeng!AK$1,FALSE)&amp;" c. "&amp;ROUND(VLOOKUP(D27,Poeng!$B$10:$BC$252,Poeng!AG$1,FALSE)*100,1)&amp;" %"</f>
        <v>0 c. 0 %</v>
      </c>
      <c r="W27" s="123" t="str">
        <f>VLOOKUP(D27,Poeng!$B$10:$BK$252,Poeng!BK$1,FALSE)</f>
        <v>N/A</v>
      </c>
      <c r="X27" s="81"/>
      <c r="Y27" s="80"/>
      <c r="Z27" s="738"/>
      <c r="AA27" s="133"/>
      <c r="AB27" s="640" t="s">
        <v>13</v>
      </c>
      <c r="AC27" s="107">
        <f t="shared" si="0"/>
        <v>1</v>
      </c>
      <c r="AD27" s="3" t="e">
        <f>VLOOKUP(K27,'Assessment Details'!$O$45:$P$48,2,FALSE)</f>
        <v>#N/A</v>
      </c>
      <c r="AE27" s="3" t="e">
        <f>VLOOKUP(R27,'Assessment Details'!$O$45:$P$48,2,FALSE)</f>
        <v>#N/A</v>
      </c>
      <c r="AF27" s="3" t="e">
        <f>VLOOKUP(Y27,'Assessment Details'!$O$45:$P$48,2,FALSE)</f>
        <v>#N/A</v>
      </c>
      <c r="AI27" s="70"/>
      <c r="AJ27" s="670" t="s">
        <v>397</v>
      </c>
      <c r="AK27" s="648" t="s">
        <v>407</v>
      </c>
      <c r="AL27" s="648" t="s">
        <v>408</v>
      </c>
      <c r="AM27" s="648" t="s">
        <v>409</v>
      </c>
      <c r="AN27" s="70"/>
      <c r="AO27" s="70"/>
      <c r="AP27" s="70"/>
      <c r="AR27" s="1" t="s">
        <v>13</v>
      </c>
      <c r="AS27" s="23" t="str">
        <f t="shared" si="3"/>
        <v>N/A</v>
      </c>
      <c r="AT27" s="23" t="str">
        <f t="shared" si="1"/>
        <v>N/A</v>
      </c>
      <c r="AU27" s="23" t="str">
        <f t="shared" si="2"/>
        <v>N/A</v>
      </c>
      <c r="AV27" s="23"/>
      <c r="AW27" s="23"/>
      <c r="AX27" s="23"/>
      <c r="AY27" s="18"/>
      <c r="AZ27" s="640"/>
      <c r="BA27" s="18"/>
      <c r="BB27" s="18"/>
      <c r="BC27" s="18"/>
      <c r="BD27" s="18"/>
      <c r="BE27" s="18"/>
      <c r="BF27" s="18"/>
    </row>
    <row r="28" spans="1:58" x14ac:dyDescent="0.25">
      <c r="A28" s="1077">
        <v>19</v>
      </c>
      <c r="B28" s="1076" t="s">
        <v>63</v>
      </c>
      <c r="C28" s="1083" t="s">
        <v>96</v>
      </c>
      <c r="D28" s="19" t="s">
        <v>723</v>
      </c>
      <c r="E28" s="861" t="str">
        <f>VLOOKUP(D28,Poeng!$B$10:$R$252,Poeng!E$1,FALSE)</f>
        <v xml:space="preserve">Commissioning - testing schedule and responsibilities </v>
      </c>
      <c r="F28" s="122">
        <f>VLOOKUP(D28,Poeng!$B$10:$AB$252,Poeng!AB$1,FALSE)</f>
        <v>1</v>
      </c>
      <c r="G28" s="43"/>
      <c r="H28" s="123">
        <f>VLOOKUP(D28,Poeng!$B$10:$AE$252,Poeng!AE$1,FALSE)</f>
        <v>0</v>
      </c>
      <c r="I28" s="124" t="str">
        <f>VLOOKUP(D28,Poeng!$B$10:$BE$252,Poeng!BE$1,FALSE)</f>
        <v>Unclassified</v>
      </c>
      <c r="J28" s="80"/>
      <c r="K28" s="281"/>
      <c r="L28" s="796"/>
      <c r="M28" s="1098"/>
      <c r="N28" s="83"/>
      <c r="O28" s="123">
        <f>VLOOKUP(D28,Poeng!$B$10:$BC$252,Poeng!AF$1,FALSE)</f>
        <v>0</v>
      </c>
      <c r="P28" s="123" t="str">
        <f>VLOOKUP(D28,Poeng!$B$10:$BH$252,Poeng!BH$1,FALSE)</f>
        <v>Unclassified</v>
      </c>
      <c r="Q28" s="744"/>
      <c r="R28" s="745"/>
      <c r="S28" s="738"/>
      <c r="T28" s="319"/>
      <c r="U28" s="83"/>
      <c r="V28" s="123">
        <f>VLOOKUP(D28,Poeng!$B$10:$BC$252,Poeng!AG$1,FALSE)</f>
        <v>0</v>
      </c>
      <c r="W28" s="123" t="str">
        <f>VLOOKUP(D28,Poeng!$B$10:$BK$252,Poeng!BK$1,FALSE)</f>
        <v>Unclassified</v>
      </c>
      <c r="X28" s="81"/>
      <c r="Y28" s="80"/>
      <c r="Z28" s="738"/>
      <c r="AC28" s="107">
        <f t="shared" si="0"/>
        <v>1</v>
      </c>
      <c r="AD28" s="3" t="e">
        <f>VLOOKUP(K28,'Assessment Details'!$O$45:$P$48,2,FALSE)</f>
        <v>#N/A</v>
      </c>
      <c r="AE28" s="3" t="e">
        <f>VLOOKUP(R28,'Assessment Details'!$O$45:$P$48,2,FALSE)</f>
        <v>#N/A</v>
      </c>
      <c r="AF28" s="3" t="e">
        <f>VLOOKUP(Y28,'Assessment Details'!$O$45:$P$48,2,FALSE)</f>
        <v>#N/A</v>
      </c>
    </row>
    <row r="29" spans="1:58" x14ac:dyDescent="0.25">
      <c r="A29" s="1077">
        <v>20</v>
      </c>
      <c r="B29" s="1076" t="s">
        <v>63</v>
      </c>
      <c r="C29" s="1083" t="s">
        <v>96</v>
      </c>
      <c r="D29" s="19" t="s">
        <v>724</v>
      </c>
      <c r="E29" s="861" t="str">
        <f>VLOOKUP(D29,Poeng!$B$10:$R$252,Poeng!E$1,FALSE)</f>
        <v>Commissioning - design, preperation and implementation</v>
      </c>
      <c r="F29" s="122">
        <f>VLOOKUP(D29,Poeng!$B$10:$AB$252,Poeng!AB$1,FALSE)</f>
        <v>1</v>
      </c>
      <c r="G29" s="43"/>
      <c r="H29" s="123">
        <f>VLOOKUP(D29,Poeng!$B$10:$AE$252,Poeng!AE$1,FALSE)</f>
        <v>0</v>
      </c>
      <c r="I29" s="124" t="str">
        <f>VLOOKUP(D29,Poeng!$B$10:$BE$252,Poeng!BE$1,FALSE)</f>
        <v>N/A</v>
      </c>
      <c r="J29" s="80"/>
      <c r="K29" s="281"/>
      <c r="L29" s="796"/>
      <c r="M29" s="1098"/>
      <c r="N29" s="83"/>
      <c r="O29" s="123">
        <f>VLOOKUP(D29,Poeng!$B$10:$BC$252,Poeng!AF$1,FALSE)</f>
        <v>0</v>
      </c>
      <c r="P29" s="123" t="str">
        <f>VLOOKUP(D29,Poeng!$B$10:$BH$252,Poeng!BH$1,FALSE)</f>
        <v>N/A</v>
      </c>
      <c r="Q29" s="744"/>
      <c r="R29" s="745"/>
      <c r="S29" s="738"/>
      <c r="T29" s="319"/>
      <c r="U29" s="83"/>
      <c r="V29" s="123">
        <f>VLOOKUP(D29,Poeng!$B$10:$BC$252,Poeng!AG$1,FALSE)</f>
        <v>0</v>
      </c>
      <c r="W29" s="123" t="str">
        <f>VLOOKUP(D29,Poeng!$B$10:$BK$252,Poeng!BK$1,FALSE)</f>
        <v>N/A</v>
      </c>
      <c r="X29" s="81"/>
      <c r="Y29" s="80"/>
      <c r="Z29" s="738"/>
      <c r="AC29" s="107">
        <f t="shared" si="0"/>
        <v>1</v>
      </c>
      <c r="AD29" s="3" t="e">
        <f>VLOOKUP(K29,'Assessment Details'!$O$45:$P$48,2,FALSE)</f>
        <v>#N/A</v>
      </c>
      <c r="AE29" s="3" t="e">
        <f>VLOOKUP(R29,'Assessment Details'!$O$45:$P$48,2,FALSE)</f>
        <v>#N/A</v>
      </c>
      <c r="AF29" s="3" t="e">
        <f>VLOOKUP(Y29,'Assessment Details'!$O$45:$P$48,2,FALSE)</f>
        <v>#N/A</v>
      </c>
    </row>
    <row r="30" spans="1:58" x14ac:dyDescent="0.25">
      <c r="A30" s="1077">
        <v>21</v>
      </c>
      <c r="B30" s="1076" t="s">
        <v>63</v>
      </c>
      <c r="C30" s="1083" t="s">
        <v>96</v>
      </c>
      <c r="D30" s="19" t="s">
        <v>725</v>
      </c>
      <c r="E30" s="861" t="str">
        <f>VLOOKUP(D30,Poeng!$B$10:$R$252,Poeng!E$1,FALSE)</f>
        <v>Prepare for good handover</v>
      </c>
      <c r="F30" s="122">
        <f>VLOOKUP(D30,Poeng!$B$10:$AB$252,Poeng!AB$1,FALSE)</f>
        <v>1</v>
      </c>
      <c r="G30" s="43"/>
      <c r="H30" s="123">
        <f>VLOOKUP(D30,Poeng!$B$10:$AE$252,Poeng!AE$1,FALSE)</f>
        <v>0</v>
      </c>
      <c r="I30" s="124" t="str">
        <f>VLOOKUP(D30,Poeng!$B$10:$BE$252,Poeng!BE$1,FALSE)</f>
        <v>Good</v>
      </c>
      <c r="J30" s="80"/>
      <c r="K30" s="281"/>
      <c r="L30" s="796"/>
      <c r="M30" s="1098"/>
      <c r="N30" s="83"/>
      <c r="O30" s="123">
        <f>VLOOKUP(D30,Poeng!$B$10:$BC$252,Poeng!AF$1,FALSE)</f>
        <v>0</v>
      </c>
      <c r="P30" s="123" t="str">
        <f>VLOOKUP(D30,Poeng!$B$10:$BH$252,Poeng!BH$1,FALSE)</f>
        <v>Good</v>
      </c>
      <c r="Q30" s="744"/>
      <c r="R30" s="745"/>
      <c r="S30" s="738"/>
      <c r="T30" s="319"/>
      <c r="U30" s="83"/>
      <c r="V30" s="123">
        <f>VLOOKUP(D30,Poeng!$B$10:$BC$252,Poeng!AG$1,FALSE)</f>
        <v>0</v>
      </c>
      <c r="W30" s="123" t="str">
        <f>VLOOKUP(D30,Poeng!$B$10:$BK$252,Poeng!BK$1,FALSE)</f>
        <v>Good</v>
      </c>
      <c r="X30" s="81"/>
      <c r="Y30" s="80"/>
      <c r="Z30" s="738"/>
      <c r="AC30" s="107">
        <f t="shared" si="0"/>
        <v>1</v>
      </c>
      <c r="AD30" s="3" t="e">
        <f>VLOOKUP(K30,'Assessment Details'!$O$45:$P$48,2,FALSE)</f>
        <v>#N/A</v>
      </c>
      <c r="AE30" s="3" t="e">
        <f>VLOOKUP(R30,'Assessment Details'!$O$45:$P$48,2,FALSE)</f>
        <v>#N/A</v>
      </c>
      <c r="AF30" s="3" t="e">
        <f>VLOOKUP(Y30,'Assessment Details'!$O$45:$P$48,2,FALSE)</f>
        <v>#N/A</v>
      </c>
    </row>
    <row r="31" spans="1:58" x14ac:dyDescent="0.25">
      <c r="A31" s="1077">
        <v>22</v>
      </c>
      <c r="B31" s="1076" t="s">
        <v>63</v>
      </c>
      <c r="C31" s="924" t="s">
        <v>97</v>
      </c>
      <c r="D31" s="824" t="s">
        <v>97</v>
      </c>
      <c r="E31" s="860" t="str">
        <f>VLOOKUP(D31,Poeng!$B$10:$R$252,Poeng!E$1,FALSE)</f>
        <v>Man 05 Aftercare</v>
      </c>
      <c r="F31" s="865">
        <f>VLOOKUP(D31,Poeng!$B$10:$AB$252,Poeng!AB$1,FALSE)</f>
        <v>3</v>
      </c>
      <c r="G31" s="1001"/>
      <c r="H31" s="866" t="str">
        <f>VLOOKUP(D31,Poeng!$B$10:$AI$252,Poeng!AI$1,FALSE)&amp;" c. "&amp;ROUND(VLOOKUP(D31,Poeng!$B$10:$AE$252,Poeng!AE$1,FALSE)*100,1)&amp;" %"</f>
        <v>0 c. 0 %</v>
      </c>
      <c r="I31" s="924" t="str">
        <f>VLOOKUP(D31,Poeng!$B$10:$BE$252,Poeng!BE$1,FALSE)</f>
        <v>N/A</v>
      </c>
      <c r="J31" s="80"/>
      <c r="K31" s="281"/>
      <c r="L31" s="796"/>
      <c r="M31" s="816"/>
      <c r="N31" s="1001"/>
      <c r="O31" s="877" t="str">
        <f>VLOOKUP(D31,Poeng!$B$10:$BC$252,Poeng!AJ$1,FALSE)&amp;" c. "&amp;ROUND(VLOOKUP(D31,Poeng!$B$10:$BC$252,Poeng!AF$1,FALSE)*100,1)&amp;" %"</f>
        <v>0 c. 0 %</v>
      </c>
      <c r="P31" s="123" t="str">
        <f>VLOOKUP(D31,Poeng!$B$10:$BH$252,Poeng!BH$1,FALSE)</f>
        <v>N/A</v>
      </c>
      <c r="Q31" s="744"/>
      <c r="R31" s="745"/>
      <c r="S31" s="738"/>
      <c r="T31" s="319"/>
      <c r="U31" s="1001"/>
      <c r="V31" s="877" t="str">
        <f>VLOOKUP(D31,Poeng!$B$10:$BC$252,Poeng!AK$1,FALSE)&amp;" c. "&amp;ROUND(VLOOKUP(D31,Poeng!$B$10:$BC$252,Poeng!AG$1,FALSE)*100,1)&amp;" %"</f>
        <v>0 c. 0 %</v>
      </c>
      <c r="W31" s="123" t="str">
        <f>VLOOKUP(D31,Poeng!$B$10:$BK$252,Poeng!BK$1,FALSE)</f>
        <v>N/A</v>
      </c>
      <c r="X31" s="81"/>
      <c r="Y31" s="80"/>
      <c r="Z31" s="738"/>
      <c r="AA31" s="133"/>
      <c r="AB31" s="640" t="s">
        <v>13</v>
      </c>
      <c r="AC31" s="107">
        <f t="shared" si="0"/>
        <v>1</v>
      </c>
      <c r="AD31" s="3" t="e">
        <f>VLOOKUP(K31,'Assessment Details'!$O$45:$P$48,2,FALSE)</f>
        <v>#N/A</v>
      </c>
      <c r="AE31" s="3" t="e">
        <f>VLOOKUP(R31,'Assessment Details'!$O$45:$P$48,2,FALSE)</f>
        <v>#N/A</v>
      </c>
      <c r="AF31" s="3" t="e">
        <f>VLOOKUP(Y31,'Assessment Details'!$O$45:$P$48,2,FALSE)</f>
        <v>#N/A</v>
      </c>
      <c r="AG31" s="27"/>
      <c r="AI31" s="70"/>
      <c r="AJ31" s="670" t="s">
        <v>310</v>
      </c>
      <c r="AK31" s="648" t="s">
        <v>407</v>
      </c>
      <c r="AL31" s="648" t="s">
        <v>409</v>
      </c>
      <c r="AM31" s="70"/>
      <c r="AN31" s="70"/>
      <c r="AO31" s="70"/>
      <c r="AP31" s="70"/>
      <c r="AR31" s="1" t="s">
        <v>13</v>
      </c>
      <c r="AS31" s="23" t="str">
        <f t="shared" si="3"/>
        <v>N/A</v>
      </c>
      <c r="AT31" s="23" t="str">
        <f t="shared" si="1"/>
        <v>N/A</v>
      </c>
      <c r="AU31" s="23" t="str">
        <f t="shared" si="2"/>
        <v>N/A</v>
      </c>
      <c r="AV31" s="23"/>
      <c r="AW31" s="23"/>
      <c r="AX31" s="23"/>
      <c r="AY31" s="18"/>
      <c r="AZ31" s="640"/>
      <c r="BA31" s="18"/>
      <c r="BB31" s="18"/>
      <c r="BC31" s="18"/>
      <c r="BD31" s="18"/>
      <c r="BE31" s="18"/>
      <c r="BF31" s="18"/>
    </row>
    <row r="32" spans="1:58" x14ac:dyDescent="0.25">
      <c r="A32" s="1077">
        <v>23</v>
      </c>
      <c r="B32" s="1076" t="s">
        <v>63</v>
      </c>
      <c r="C32" s="1083" t="s">
        <v>97</v>
      </c>
      <c r="D32" s="19" t="s">
        <v>726</v>
      </c>
      <c r="E32" s="861" t="str">
        <f>VLOOKUP(D32,Poeng!$B$10:$R$252,Poeng!E$1,FALSE)</f>
        <v>Aftercare support</v>
      </c>
      <c r="F32" s="122">
        <f>VLOOKUP(D32,Poeng!$B$10:$AB$252,Poeng!AB$1,FALSE)</f>
        <v>1</v>
      </c>
      <c r="G32" s="43"/>
      <c r="H32" s="123">
        <f>VLOOKUP(D32,Poeng!$B$10:$AE$252,Poeng!AE$1,FALSE)</f>
        <v>0</v>
      </c>
      <c r="I32" s="124" t="str">
        <f>VLOOKUP(D32,Poeng!$B$10:$BE$252,Poeng!BE$1,FALSE)</f>
        <v>N/A</v>
      </c>
      <c r="J32" s="80"/>
      <c r="K32" s="281"/>
      <c r="L32" s="796"/>
      <c r="M32" s="1098"/>
      <c r="N32" s="83"/>
      <c r="O32" s="123">
        <f>VLOOKUP(D32,Poeng!$B$10:$BC$252,Poeng!AF$1,FALSE)</f>
        <v>0</v>
      </c>
      <c r="P32" s="123" t="str">
        <f>VLOOKUP(D32,Poeng!$B$10:$BH$252,Poeng!BH$1,FALSE)</f>
        <v>N/A</v>
      </c>
      <c r="Q32" s="744"/>
      <c r="R32" s="745"/>
      <c r="S32" s="738"/>
      <c r="T32" s="319"/>
      <c r="U32" s="83"/>
      <c r="V32" s="123">
        <f>VLOOKUP(D32,Poeng!$B$10:$BC$252,Poeng!AG$1,FALSE)</f>
        <v>0</v>
      </c>
      <c r="W32" s="123" t="str">
        <f>VLOOKUP(D32,Poeng!$B$10:$BK$252,Poeng!BK$1,FALSE)</f>
        <v>N/A</v>
      </c>
      <c r="X32" s="81"/>
      <c r="Y32" s="80"/>
      <c r="Z32" s="738"/>
      <c r="AC32" s="107">
        <f t="shared" si="0"/>
        <v>1</v>
      </c>
      <c r="AD32" s="3" t="e">
        <f>VLOOKUP(K32,'Assessment Details'!$O$45:$P$48,2,FALSE)</f>
        <v>#N/A</v>
      </c>
      <c r="AE32" s="3" t="e">
        <f>VLOOKUP(R32,'Assessment Details'!$O$45:$P$48,2,FALSE)</f>
        <v>#N/A</v>
      </c>
      <c r="AF32" s="3" t="e">
        <f>VLOOKUP(Y32,'Assessment Details'!$O$45:$P$48,2,FALSE)</f>
        <v>#N/A</v>
      </c>
    </row>
    <row r="33" spans="1:58" x14ac:dyDescent="0.25">
      <c r="A33" s="1077">
        <v>24</v>
      </c>
      <c r="B33" s="1076" t="s">
        <v>63</v>
      </c>
      <c r="C33" s="1083" t="s">
        <v>97</v>
      </c>
      <c r="D33" s="19" t="s">
        <v>727</v>
      </c>
      <c r="E33" s="861" t="str">
        <f>VLOOKUP(D33,Poeng!$B$10:$R$252,Poeng!E$1,FALSE)</f>
        <v>Sesonal commisioning</v>
      </c>
      <c r="F33" s="122">
        <f>VLOOKUP(D33,Poeng!$B$10:$AB$252,Poeng!AB$1,FALSE)</f>
        <v>1</v>
      </c>
      <c r="G33" s="43"/>
      <c r="H33" s="123">
        <f>VLOOKUP(D33,Poeng!$B$10:$AE$252,Poeng!AE$1,FALSE)</f>
        <v>0</v>
      </c>
      <c r="I33" s="124" t="str">
        <f>VLOOKUP(D33,Poeng!$B$10:$BE$252,Poeng!BE$1,FALSE)</f>
        <v>Very Good</v>
      </c>
      <c r="J33" s="80"/>
      <c r="K33" s="281"/>
      <c r="L33" s="796"/>
      <c r="M33" s="1098"/>
      <c r="N33" s="83"/>
      <c r="O33" s="123">
        <f>VLOOKUP(D33,Poeng!$B$10:$BC$252,Poeng!AF$1,FALSE)</f>
        <v>0</v>
      </c>
      <c r="P33" s="123" t="str">
        <f>VLOOKUP(D33,Poeng!$B$10:$BH$252,Poeng!BH$1,FALSE)</f>
        <v>Very Good</v>
      </c>
      <c r="Q33" s="744"/>
      <c r="R33" s="745"/>
      <c r="S33" s="738"/>
      <c r="T33" s="319"/>
      <c r="U33" s="83"/>
      <c r="V33" s="123">
        <f>VLOOKUP(D33,Poeng!$B$10:$BC$252,Poeng!AG$1,FALSE)</f>
        <v>0</v>
      </c>
      <c r="W33" s="123" t="str">
        <f>VLOOKUP(D33,Poeng!$B$10:$BK$252,Poeng!BK$1,FALSE)</f>
        <v>Very Good</v>
      </c>
      <c r="X33" s="81"/>
      <c r="Y33" s="80"/>
      <c r="Z33" s="738"/>
      <c r="AC33" s="107">
        <f t="shared" si="0"/>
        <v>1</v>
      </c>
      <c r="AD33" s="3" t="e">
        <f>VLOOKUP(K33,'Assessment Details'!$O$45:$P$48,2,FALSE)</f>
        <v>#N/A</v>
      </c>
      <c r="AE33" s="3" t="e">
        <f>VLOOKUP(R33,'Assessment Details'!$O$45:$P$48,2,FALSE)</f>
        <v>#N/A</v>
      </c>
      <c r="AF33" s="3" t="e">
        <f>VLOOKUP(Y33,'Assessment Details'!$O$45:$P$48,2,FALSE)</f>
        <v>#N/A</v>
      </c>
    </row>
    <row r="34" spans="1:58" x14ac:dyDescent="0.25">
      <c r="A34" s="1077">
        <v>25</v>
      </c>
      <c r="B34" s="1076" t="s">
        <v>63</v>
      </c>
      <c r="C34" s="1083" t="s">
        <v>97</v>
      </c>
      <c r="D34" s="19" t="s">
        <v>728</v>
      </c>
      <c r="E34" s="861" t="str">
        <f>VLOOKUP(D34,Poeng!$B$10:$R$252,Poeng!E$1,FALSE)</f>
        <v>Post-occypancy evaluation</v>
      </c>
      <c r="F34" s="122">
        <f>VLOOKUP(D34,Poeng!$B$10:$AB$252,Poeng!AB$1,FALSE)</f>
        <v>1</v>
      </c>
      <c r="G34" s="43"/>
      <c r="H34" s="123">
        <f>VLOOKUP(D34,Poeng!$B$10:$AE$252,Poeng!AE$1,FALSE)</f>
        <v>0</v>
      </c>
      <c r="I34" s="124" t="str">
        <f>VLOOKUP(D34,Poeng!$B$10:$BE$252,Poeng!BE$1,FALSE)</f>
        <v>N/A</v>
      </c>
      <c r="J34" s="80"/>
      <c r="K34" s="281"/>
      <c r="L34" s="796"/>
      <c r="M34" s="1098"/>
      <c r="N34" s="83"/>
      <c r="O34" s="123">
        <f>VLOOKUP(D34,Poeng!$B$10:$BC$252,Poeng!AF$1,FALSE)</f>
        <v>0</v>
      </c>
      <c r="P34" s="123" t="str">
        <f>VLOOKUP(D34,Poeng!$B$10:$BH$252,Poeng!BH$1,FALSE)</f>
        <v>N/A</v>
      </c>
      <c r="Q34" s="744"/>
      <c r="R34" s="745"/>
      <c r="S34" s="738"/>
      <c r="T34" s="319"/>
      <c r="U34" s="83"/>
      <c r="V34" s="123">
        <f>VLOOKUP(D34,Poeng!$B$10:$BC$252,Poeng!AG$1,FALSE)</f>
        <v>0</v>
      </c>
      <c r="W34" s="123" t="str">
        <f>VLOOKUP(D34,Poeng!$B$10:$BK$252,Poeng!BK$1,FALSE)</f>
        <v>N/A</v>
      </c>
      <c r="X34" s="81"/>
      <c r="Y34" s="80"/>
      <c r="Z34" s="738"/>
      <c r="AC34" s="107">
        <f t="shared" si="0"/>
        <v>1</v>
      </c>
      <c r="AD34" s="3" t="e">
        <f>VLOOKUP(K34,'Assessment Details'!$O$45:$P$48,2,FALSE)</f>
        <v>#N/A</v>
      </c>
      <c r="AE34" s="3" t="e">
        <f>VLOOKUP(R34,'Assessment Details'!$O$45:$P$48,2,FALSE)</f>
        <v>#N/A</v>
      </c>
      <c r="AF34" s="3" t="e">
        <f>VLOOKUP(Y34,'Assessment Details'!$O$45:$P$48,2,FALSE)</f>
        <v>#N/A</v>
      </c>
    </row>
    <row r="35" spans="1:58" ht="15.75" thickBot="1" x14ac:dyDescent="0.3">
      <c r="A35" s="1077">
        <v>26</v>
      </c>
      <c r="B35" s="1076" t="s">
        <v>63</v>
      </c>
      <c r="C35" s="1084"/>
      <c r="D35" s="824" t="s">
        <v>883</v>
      </c>
      <c r="E35" s="320" t="s">
        <v>104</v>
      </c>
      <c r="F35" s="125">
        <f>Man_Credits</f>
        <v>21</v>
      </c>
      <c r="G35" s="925"/>
      <c r="H35" s="126">
        <f>Man_cont_tot</f>
        <v>0</v>
      </c>
      <c r="I35" s="867" t="str">
        <f>"Credits achieved: "&amp;Man_tot_user</f>
        <v>Credits achieved: 0</v>
      </c>
      <c r="J35" s="134"/>
      <c r="K35" s="282"/>
      <c r="L35" s="746"/>
      <c r="M35" s="815"/>
      <c r="N35" s="383"/>
      <c r="O35" s="126">
        <f>VLOOKUP(D35,Poeng!$B$10:$BC$252,Poeng!AF$1,FALSE)</f>
        <v>0</v>
      </c>
      <c r="P35" s="867" t="str">
        <f>"Credits achieved: "&amp;Man_d_user</f>
        <v>Credits achieved: 0</v>
      </c>
      <c r="Q35" s="747"/>
      <c r="R35" s="748"/>
      <c r="S35" s="746"/>
      <c r="T35" s="319"/>
      <c r="U35" s="383"/>
      <c r="V35" s="126">
        <f>VLOOKUP(D35,Poeng!$B$10:$BC$252,Poeng!AG$1,FALSE)</f>
        <v>0</v>
      </c>
      <c r="W35" s="867" t="str">
        <f>"Credits achieved: "&amp;Man_c_user</f>
        <v>Credits achieved: 0</v>
      </c>
      <c r="X35" s="382"/>
      <c r="Y35" s="135"/>
      <c r="Z35" s="746"/>
      <c r="AA35" s="133"/>
      <c r="AB35" s="641"/>
      <c r="AC35" s="107">
        <f t="shared" si="0"/>
        <v>1</v>
      </c>
      <c r="AD35" s="276">
        <v>0</v>
      </c>
      <c r="AE35" s="276">
        <v>0</v>
      </c>
      <c r="AF35" s="276">
        <v>0</v>
      </c>
      <c r="AG35" s="27"/>
      <c r="AI35" s="70"/>
      <c r="AJ35" s="670" t="s">
        <v>104</v>
      </c>
      <c r="AK35" s="70"/>
      <c r="AL35" s="70"/>
      <c r="AM35" s="70"/>
      <c r="AN35" s="70"/>
      <c r="AO35" s="70"/>
      <c r="AP35" s="70"/>
      <c r="AS35" s="23" t="str">
        <f t="shared" si="3"/>
        <v>N/A</v>
      </c>
      <c r="AT35" s="23" t="str">
        <f t="shared" si="1"/>
        <v>N/A</v>
      </c>
      <c r="AU35" s="23" t="str">
        <f t="shared" si="2"/>
        <v>N/A</v>
      </c>
      <c r="AV35" s="23"/>
      <c r="AW35" s="23"/>
      <c r="AX35" s="23"/>
      <c r="AY35" s="18"/>
      <c r="AZ35" s="641"/>
      <c r="BA35" s="18"/>
      <c r="BB35" s="18"/>
      <c r="BC35" s="18"/>
      <c r="BD35" s="18"/>
      <c r="BE35" s="18"/>
      <c r="BF35" s="18"/>
    </row>
    <row r="36" spans="1:58" x14ac:dyDescent="0.25">
      <c r="A36" s="1077">
        <v>27</v>
      </c>
      <c r="B36" s="1076" t="s">
        <v>63</v>
      </c>
      <c r="C36" s="322"/>
      <c r="D36" s="824"/>
      <c r="E36" s="321"/>
      <c r="F36" s="322"/>
      <c r="G36" s="323"/>
      <c r="H36" s="322"/>
      <c r="I36" s="322"/>
      <c r="J36" s="324"/>
      <c r="K36" s="323"/>
      <c r="L36" s="749"/>
      <c r="M36" s="815"/>
      <c r="N36" s="325"/>
      <c r="O36" s="325"/>
      <c r="P36" s="749"/>
      <c r="Q36" s="749"/>
      <c r="R36" s="750"/>
      <c r="S36" s="1095"/>
      <c r="T36" s="326"/>
      <c r="U36" s="325"/>
      <c r="V36" s="325"/>
      <c r="W36" s="749"/>
      <c r="X36" s="324"/>
      <c r="Y36" s="325"/>
      <c r="Z36" s="1095"/>
      <c r="AA36" s="699"/>
      <c r="AB36" s="324"/>
      <c r="AC36" s="107">
        <f t="shared" si="0"/>
        <v>1</v>
      </c>
      <c r="AD36" s="278">
        <v>0</v>
      </c>
      <c r="AE36" s="278">
        <v>0</v>
      </c>
      <c r="AF36" s="278">
        <v>0</v>
      </c>
      <c r="AI36" s="70"/>
      <c r="AJ36" s="671"/>
      <c r="AK36" s="70"/>
      <c r="AL36" s="70"/>
      <c r="AM36" s="70"/>
      <c r="AN36" s="70"/>
      <c r="AO36" s="70"/>
      <c r="AP36" s="70"/>
      <c r="AS36" s="23" t="str">
        <f t="shared" si="3"/>
        <v>N/A</v>
      </c>
      <c r="AT36" s="23" t="str">
        <f t="shared" si="1"/>
        <v>N/A</v>
      </c>
      <c r="AU36" s="23" t="str">
        <f t="shared" si="2"/>
        <v>N/A</v>
      </c>
      <c r="AV36" s="23"/>
      <c r="AW36" s="23"/>
      <c r="AX36" s="23"/>
      <c r="AZ36" s="324"/>
    </row>
    <row r="37" spans="1:58" ht="18.75" x14ac:dyDescent="0.25">
      <c r="A37" s="1077">
        <v>28</v>
      </c>
      <c r="B37" s="1078" t="s">
        <v>66</v>
      </c>
      <c r="C37" s="1085"/>
      <c r="D37" s="824"/>
      <c r="E37" s="327" t="s">
        <v>46</v>
      </c>
      <c r="F37" s="315"/>
      <c r="G37" s="316"/>
      <c r="H37" s="315"/>
      <c r="I37" s="315"/>
      <c r="J37" s="328"/>
      <c r="K37" s="329"/>
      <c r="L37" s="741"/>
      <c r="M37" s="816"/>
      <c r="N37" s="333"/>
      <c r="O37" s="332"/>
      <c r="P37" s="742"/>
      <c r="Q37" s="742"/>
      <c r="R37" s="751"/>
      <c r="S37" s="743"/>
      <c r="T37" s="319"/>
      <c r="U37" s="333"/>
      <c r="V37" s="332"/>
      <c r="W37" s="742"/>
      <c r="X37" s="331"/>
      <c r="Y37" s="332"/>
      <c r="Z37" s="741"/>
      <c r="AA37" s="133"/>
      <c r="AB37" s="330"/>
      <c r="AC37" s="107">
        <f t="shared" si="0"/>
        <v>1</v>
      </c>
      <c r="AD37" s="275">
        <v>0</v>
      </c>
      <c r="AE37" s="275">
        <v>0</v>
      </c>
      <c r="AF37" s="275">
        <v>0</v>
      </c>
      <c r="AI37" s="70"/>
      <c r="AJ37" s="671" t="s">
        <v>46</v>
      </c>
      <c r="AK37" s="70"/>
      <c r="AL37" s="70"/>
      <c r="AM37" s="70"/>
      <c r="AN37" s="70"/>
      <c r="AO37" s="70"/>
      <c r="AP37" s="70"/>
      <c r="AS37" s="23" t="str">
        <f t="shared" si="3"/>
        <v>N/A</v>
      </c>
      <c r="AT37" s="23" t="str">
        <f t="shared" si="1"/>
        <v>N/A</v>
      </c>
      <c r="AU37" s="23" t="str">
        <f t="shared" si="2"/>
        <v>N/A</v>
      </c>
      <c r="AV37" s="23"/>
      <c r="AW37" s="23"/>
      <c r="AX37" s="23"/>
      <c r="AZ37" s="330"/>
    </row>
    <row r="38" spans="1:58" x14ac:dyDescent="0.25">
      <c r="A38" s="1077">
        <v>29</v>
      </c>
      <c r="B38" s="1078" t="s">
        <v>66</v>
      </c>
      <c r="C38" s="924" t="s">
        <v>118</v>
      </c>
      <c r="D38" s="824" t="s">
        <v>118</v>
      </c>
      <c r="E38" s="860" t="str">
        <f>VLOOKUP(D38,Poeng!$B$10:$R$252,Poeng!E$1,FALSE)</f>
        <v>Hea 01 Visual comfort</v>
      </c>
      <c r="F38" s="865">
        <f>VLOOKUP(D38,Poeng!$B$10:$AB$252,Poeng!AB$1,FALSE)</f>
        <v>7</v>
      </c>
      <c r="G38" s="1000"/>
      <c r="H38" s="866" t="str">
        <f>VLOOKUP(D38,Poeng!$B$10:$AI$252,Poeng!AI$1,FALSE)&amp;" c. "&amp;ROUND(VLOOKUP(D38,Poeng!$B$10:$AE$252,Poeng!AE$1,FALSE)*100,1)&amp;" %"</f>
        <v>0 c. 0 %</v>
      </c>
      <c r="I38" s="923" t="str">
        <f>VLOOKUP(D38,Poeng!$B$10:$BE$252,Poeng!BE$1,FALSE)</f>
        <v>N/A</v>
      </c>
      <c r="J38" s="874"/>
      <c r="K38" s="875"/>
      <c r="L38" s="876"/>
      <c r="M38" s="815"/>
      <c r="N38" s="1001"/>
      <c r="O38" s="877" t="str">
        <f>VLOOKUP(D38,Poeng!$B$10:$BC$252,Poeng!AJ$1,FALSE)&amp;" c. "&amp;ROUND(VLOOKUP(D38,Poeng!$B$10:$BC$252,Poeng!AF$1,FALSE)*100,1)&amp;" %"</f>
        <v>0 c. 0 %</v>
      </c>
      <c r="P38" s="123" t="str">
        <f>VLOOKUP(D38,Poeng!$B$10:$BH$252,Poeng!BH$1,FALSE)</f>
        <v>N/A</v>
      </c>
      <c r="Q38" s="744"/>
      <c r="R38" s="745"/>
      <c r="S38" s="738"/>
      <c r="T38" s="319"/>
      <c r="U38" s="1001"/>
      <c r="V38" s="877" t="str">
        <f>VLOOKUP(D38,Poeng!$B$10:$BC$252,Poeng!AK$1,FALSE)&amp;" c. "&amp;ROUND(VLOOKUP(D38,Poeng!$B$10:$BC$252,Poeng!AG$1,FALSE)*100,1)&amp;" %"</f>
        <v>0 c. 0 %</v>
      </c>
      <c r="W38" s="123" t="str">
        <f>VLOOKUP(D38,Poeng!$B$10:$BK$252,Poeng!BK$1,FALSE)</f>
        <v>N/A</v>
      </c>
      <c r="X38" s="81"/>
      <c r="Y38" s="80"/>
      <c r="Z38" s="738"/>
      <c r="AA38" s="133"/>
      <c r="AB38" s="683" t="s">
        <v>13</v>
      </c>
      <c r="AC38" s="107">
        <f t="shared" si="0"/>
        <v>1</v>
      </c>
      <c r="AD38" s="3" t="e">
        <f>VLOOKUP(K38,'Assessment Details'!$O$45:$P$48,2,FALSE)</f>
        <v>#N/A</v>
      </c>
      <c r="AE38" s="3" t="e">
        <f>VLOOKUP(R38,'Assessment Details'!$O$45:$P$48,2,FALSE)</f>
        <v>#N/A</v>
      </c>
      <c r="AF38" s="3" t="e">
        <f>VLOOKUP(Y38,'Assessment Details'!$O$45:$P$48,2,FALSE)</f>
        <v>#N/A</v>
      </c>
      <c r="AI38" s="70" t="str">
        <f>ais_ja</f>
        <v>Ja</v>
      </c>
      <c r="AJ38" s="671" t="s">
        <v>116</v>
      </c>
      <c r="AK38" s="651" t="s">
        <v>444</v>
      </c>
      <c r="AL38" s="651" t="s">
        <v>442</v>
      </c>
      <c r="AM38" s="651" t="s">
        <v>443</v>
      </c>
      <c r="AN38" s="651" t="s">
        <v>457</v>
      </c>
      <c r="AO38" s="651" t="s">
        <v>456</v>
      </c>
      <c r="AP38" s="651" t="s">
        <v>458</v>
      </c>
      <c r="AR38" s="1" t="str">
        <f>IF($AJ$8=ais_nei,AIS_NA,"No")</f>
        <v>No</v>
      </c>
      <c r="AS38" s="23" t="str">
        <f t="shared" ref="AS38:AX38" si="4">IF(OR($AJ$4=ais_nei,$AJ$8=ais_nei),AIS_NA,IF(AK38="",AIS_NA,AK38))</f>
        <v>N/A</v>
      </c>
      <c r="AT38" s="23" t="str">
        <f t="shared" si="4"/>
        <v>N/A</v>
      </c>
      <c r="AU38" s="23" t="str">
        <f t="shared" si="4"/>
        <v>N/A</v>
      </c>
      <c r="AV38" s="23" t="str">
        <f t="shared" si="4"/>
        <v>N/A</v>
      </c>
      <c r="AW38" s="23" t="str">
        <f t="shared" si="4"/>
        <v>N/A</v>
      </c>
      <c r="AX38" s="23" t="str">
        <f t="shared" si="4"/>
        <v>N/A</v>
      </c>
      <c r="AZ38" s="640"/>
    </row>
    <row r="39" spans="1:58" x14ac:dyDescent="0.25">
      <c r="A39" s="1077">
        <v>30</v>
      </c>
      <c r="B39" s="1078" t="s">
        <v>66</v>
      </c>
      <c r="C39" s="1083" t="str">
        <f>C38</f>
        <v>Hea 01</v>
      </c>
      <c r="D39" s="824" t="s">
        <v>729</v>
      </c>
      <c r="E39" s="861" t="str">
        <f>VLOOKUP(D39,Poeng!$B$10:$R$252,Poeng!E$1,FALSE)</f>
        <v>Pre-requisite: limitation of light flicker and stroboscopic effect</v>
      </c>
      <c r="F39" s="122" t="str">
        <f>VLOOKUP(D39,Poeng!$B$10:$AB$252,Poeng!AB$1,FALSE)</f>
        <v>Yes/No</v>
      </c>
      <c r="G39" s="43"/>
      <c r="H39" s="123" t="str">
        <f>VLOOKUP(D39,Poeng!$B$10:$AE$252,Poeng!AE$1,FALSE)</f>
        <v>-</v>
      </c>
      <c r="I39" s="124" t="str">
        <f>VLOOKUP(D39,Poeng!$B$10:$BE$252,Poeng!BE$1,FALSE)</f>
        <v>Unclassified</v>
      </c>
      <c r="J39" s="1120"/>
      <c r="K39" s="1121"/>
      <c r="L39" s="1122"/>
      <c r="M39" s="815"/>
      <c r="N39" s="83"/>
      <c r="O39" s="123" t="str">
        <f>VLOOKUP(D39,Poeng!$B$10:$BC$252,Poeng!AF$1,FALSE)</f>
        <v>-</v>
      </c>
      <c r="P39" s="123" t="str">
        <f>VLOOKUP(D39,Poeng!$B$10:$BH$252,Poeng!BH$1,FALSE)</f>
        <v>Unclassified</v>
      </c>
      <c r="Q39" s="744"/>
      <c r="R39" s="745"/>
      <c r="S39" s="738"/>
      <c r="T39" s="319"/>
      <c r="U39" s="83"/>
      <c r="V39" s="123" t="str">
        <f>VLOOKUP(D39,Poeng!$B$10:$BC$252,Poeng!AG$1,FALSE)</f>
        <v>-</v>
      </c>
      <c r="W39" s="123" t="str">
        <f>VLOOKUP(D39,Poeng!$B$10:$BK$252,Poeng!BK$1,FALSE)</f>
        <v>Unclassified</v>
      </c>
      <c r="X39" s="81"/>
      <c r="Y39" s="80"/>
      <c r="Z39" s="738"/>
      <c r="AA39" s="133"/>
      <c r="AB39" s="683"/>
      <c r="AC39" s="107">
        <f t="shared" ref="AC39" si="5">IF(F39="",1,IF(F39=0,2,1))</f>
        <v>1</v>
      </c>
      <c r="AD39" s="3" t="e">
        <f>VLOOKUP(K39,'Assessment Details'!$O$45:$P$48,2,FALSE)</f>
        <v>#N/A</v>
      </c>
      <c r="AE39" s="3" t="e">
        <f>VLOOKUP(R39,'Assessment Details'!$O$45:$P$48,2,FALSE)</f>
        <v>#N/A</v>
      </c>
      <c r="AF39" s="3" t="e">
        <f>VLOOKUP(Y39,'Assessment Details'!$O$45:$P$48,2,FALSE)</f>
        <v>#N/A</v>
      </c>
      <c r="AI39" s="70"/>
      <c r="AJ39" s="671"/>
      <c r="AK39" s="651"/>
      <c r="AL39" s="651"/>
      <c r="AM39" s="651"/>
      <c r="AN39" s="651"/>
      <c r="AO39" s="651"/>
      <c r="AP39" s="651"/>
      <c r="AS39" s="23"/>
      <c r="AT39" s="23"/>
      <c r="AU39" s="23"/>
      <c r="AV39" s="23"/>
      <c r="AW39" s="23"/>
      <c r="AX39" s="23"/>
      <c r="AZ39" s="640"/>
    </row>
    <row r="40" spans="1:58" x14ac:dyDescent="0.25">
      <c r="A40" s="1077">
        <v>31</v>
      </c>
      <c r="B40" s="1078" t="s">
        <v>66</v>
      </c>
      <c r="C40" s="1083" t="str">
        <f>C39</f>
        <v>Hea 01</v>
      </c>
      <c r="D40" s="824" t="s">
        <v>1048</v>
      </c>
      <c r="E40" s="861" t="str">
        <f>VLOOKUP(D40,Poeng!$B$10:$R$252,Poeng!E$1,FALSE)</f>
        <v>Pre-requisite: daylight assessments</v>
      </c>
      <c r="F40" s="122" t="str">
        <f>VLOOKUP(D40,Poeng!$B$10:$AB$252,Poeng!AB$1,FALSE)</f>
        <v>Yes/No</v>
      </c>
      <c r="G40" s="43"/>
      <c r="H40" s="123" t="str">
        <f>VLOOKUP(D40,Poeng!$B$10:$AE$252,Poeng!AE$1,FALSE)</f>
        <v>-</v>
      </c>
      <c r="I40" s="124" t="str">
        <f>VLOOKUP(D40,Poeng!$B$10:$BE$252,Poeng!BE$1,FALSE)</f>
        <v>Unclassified</v>
      </c>
      <c r="J40" s="1120"/>
      <c r="K40" s="1121"/>
      <c r="L40" s="1122"/>
      <c r="M40" s="815"/>
      <c r="N40" s="83"/>
      <c r="O40" s="123" t="str">
        <f>VLOOKUP(D40,Poeng!$B$10:$BC$252,Poeng!AF$1,FALSE)</f>
        <v>-</v>
      </c>
      <c r="P40" s="123" t="str">
        <f>VLOOKUP(D40,Poeng!$B$10:$BH$252,Poeng!BH$1,FALSE)</f>
        <v>Unclassified</v>
      </c>
      <c r="Q40" s="744"/>
      <c r="R40" s="745"/>
      <c r="S40" s="738"/>
      <c r="T40" s="319"/>
      <c r="U40" s="83"/>
      <c r="V40" s="123" t="str">
        <f>VLOOKUP(D40,Poeng!$B$10:$BC$252,Poeng!AG$1,FALSE)</f>
        <v>-</v>
      </c>
      <c r="W40" s="123" t="str">
        <f>VLOOKUP(D40,Poeng!$B$10:$BK$252,Poeng!BK$1,FALSE)</f>
        <v>Unclassified</v>
      </c>
      <c r="X40" s="81"/>
      <c r="Y40" s="80"/>
      <c r="Z40" s="738"/>
      <c r="AA40" s="133"/>
      <c r="AB40" s="683"/>
      <c r="AC40" s="107">
        <f t="shared" ref="AC40" si="6">IF(F40="",1,IF(F40=0,2,1))</f>
        <v>1</v>
      </c>
      <c r="AD40" s="3" t="e">
        <f>VLOOKUP(K40,'Assessment Details'!$O$45:$P$48,2,FALSE)</f>
        <v>#N/A</v>
      </c>
      <c r="AE40" s="3" t="e">
        <f>VLOOKUP(R40,'Assessment Details'!$O$45:$P$48,2,FALSE)</f>
        <v>#N/A</v>
      </c>
      <c r="AF40" s="3" t="e">
        <f>VLOOKUP(Y40,'Assessment Details'!$O$45:$P$48,2,FALSE)</f>
        <v>#N/A</v>
      </c>
      <c r="AI40" s="70"/>
      <c r="AJ40" s="671"/>
      <c r="AK40" s="651"/>
      <c r="AL40" s="651"/>
      <c r="AM40" s="651"/>
      <c r="AN40" s="651"/>
      <c r="AO40" s="651"/>
      <c r="AP40" s="651"/>
      <c r="AS40" s="23"/>
      <c r="AT40" s="23"/>
      <c r="AU40" s="23"/>
      <c r="AV40" s="23"/>
      <c r="AW40" s="23"/>
      <c r="AX40" s="23"/>
      <c r="AZ40" s="640"/>
    </row>
    <row r="41" spans="1:58" x14ac:dyDescent="0.25">
      <c r="A41" s="1077">
        <v>32</v>
      </c>
      <c r="B41" s="1078" t="s">
        <v>66</v>
      </c>
      <c r="C41" s="1083" t="str">
        <f>C38</f>
        <v>Hea 01</v>
      </c>
      <c r="D41" s="824" t="s">
        <v>730</v>
      </c>
      <c r="E41" s="861" t="str">
        <f>VLOOKUP(D41,Poeng!$B$10:$R$252,Poeng!E$1,FALSE)</f>
        <v>Daylighting</v>
      </c>
      <c r="F41" s="122">
        <f>VLOOKUP(D41,Poeng!$B$10:$AB$252,Poeng!AB$1,FALSE)</f>
        <v>3</v>
      </c>
      <c r="G41" s="43"/>
      <c r="H41" s="123">
        <f>VLOOKUP(D41,Poeng!$B$10:$AE$252,Poeng!AE$1,FALSE)</f>
        <v>0</v>
      </c>
      <c r="I41" s="124" t="str">
        <f>VLOOKUP(D41,Poeng!$B$10:$BE$252,Poeng!BE$1,FALSE)</f>
        <v>N/A</v>
      </c>
      <c r="J41" s="80"/>
      <c r="K41" s="281"/>
      <c r="L41" s="796"/>
      <c r="M41" s="816"/>
      <c r="N41" s="83"/>
      <c r="O41" s="123">
        <f>VLOOKUP(D41,Poeng!$B$10:$BC$252,Poeng!AF$1,FALSE)</f>
        <v>0</v>
      </c>
      <c r="P41" s="123" t="str">
        <f>VLOOKUP(D41,Poeng!$B$10:$BH$252,Poeng!BH$1,FALSE)</f>
        <v>N/A</v>
      </c>
      <c r="Q41" s="744"/>
      <c r="R41" s="745"/>
      <c r="S41" s="738"/>
      <c r="T41" s="319"/>
      <c r="U41" s="83"/>
      <c r="V41" s="123">
        <f>VLOOKUP(D41,Poeng!$B$10:$BC$252,Poeng!AG$1,FALSE)</f>
        <v>0</v>
      </c>
      <c r="W41" s="123" t="str">
        <f>VLOOKUP(D41,Poeng!$B$10:$BK$252,Poeng!BK$1,FALSE)</f>
        <v>N/A</v>
      </c>
      <c r="X41" s="81"/>
      <c r="Y41" s="80"/>
      <c r="Z41" s="738"/>
      <c r="AA41" s="133"/>
      <c r="AB41" s="683"/>
      <c r="AC41" s="107">
        <f t="shared" si="0"/>
        <v>1</v>
      </c>
      <c r="AD41" s="3" t="e">
        <f>VLOOKUP(K41,'Assessment Details'!$O$45:$P$48,2,FALSE)</f>
        <v>#N/A</v>
      </c>
      <c r="AE41" s="3" t="e">
        <f>VLOOKUP(R41,'Assessment Details'!$O$45:$P$48,2,FALSE)</f>
        <v>#N/A</v>
      </c>
      <c r="AF41" s="3" t="e">
        <f>VLOOKUP(Y41,'Assessment Details'!$O$45:$P$48,2,FALSE)</f>
        <v>#N/A</v>
      </c>
      <c r="AI41" s="70"/>
      <c r="AJ41" s="671"/>
      <c r="AK41" s="651"/>
      <c r="AL41" s="651"/>
      <c r="AM41" s="651"/>
      <c r="AN41" s="651"/>
      <c r="AO41" s="651"/>
      <c r="AP41" s="651"/>
      <c r="AS41" s="23"/>
      <c r="AT41" s="23"/>
      <c r="AU41" s="23"/>
      <c r="AV41" s="23"/>
      <c r="AW41" s="23"/>
      <c r="AX41" s="23"/>
      <c r="AZ41" s="640"/>
    </row>
    <row r="42" spans="1:58" x14ac:dyDescent="0.25">
      <c r="A42" s="1077">
        <v>33</v>
      </c>
      <c r="B42" s="1078" t="s">
        <v>66</v>
      </c>
      <c r="C42" s="1083" t="str">
        <f t="shared" ref="C42:C100" si="7">C41</f>
        <v>Hea 01</v>
      </c>
      <c r="D42" s="824" t="s">
        <v>731</v>
      </c>
      <c r="E42" s="861" t="str">
        <f>VLOOKUP(D42,Poeng!$B$10:$R$252,Poeng!E$1,FALSE)</f>
        <v xml:space="preserve">Control of glare from sunlight </v>
      </c>
      <c r="F42" s="122">
        <f>VLOOKUP(D42,Poeng!$B$10:$AB$252,Poeng!AB$1,FALSE)</f>
        <v>1</v>
      </c>
      <c r="G42" s="43"/>
      <c r="H42" s="123">
        <f>VLOOKUP(D42,Poeng!$B$10:$AE$252,Poeng!AE$1,FALSE)</f>
        <v>0</v>
      </c>
      <c r="I42" s="124" t="str">
        <f>VLOOKUP(D42,Poeng!$B$10:$BE$252,Poeng!BE$1,FALSE)</f>
        <v>N/A</v>
      </c>
      <c r="J42" s="80"/>
      <c r="K42" s="281"/>
      <c r="L42" s="796"/>
      <c r="M42" s="816"/>
      <c r="N42" s="83"/>
      <c r="O42" s="123">
        <f>VLOOKUP(D42,Poeng!$B$10:$BC$252,Poeng!AF$1,FALSE)</f>
        <v>0</v>
      </c>
      <c r="P42" s="123" t="str">
        <f>VLOOKUP(D42,Poeng!$B$10:$BH$252,Poeng!BH$1,FALSE)</f>
        <v>N/A</v>
      </c>
      <c r="Q42" s="744"/>
      <c r="R42" s="745"/>
      <c r="S42" s="738"/>
      <c r="T42" s="319"/>
      <c r="U42" s="83"/>
      <c r="V42" s="123">
        <f>VLOOKUP(D42,Poeng!$B$10:$BC$252,Poeng!AG$1,FALSE)</f>
        <v>0</v>
      </c>
      <c r="W42" s="123" t="str">
        <f>VLOOKUP(D42,Poeng!$B$10:$BK$252,Poeng!BK$1,FALSE)</f>
        <v>N/A</v>
      </c>
      <c r="X42" s="81"/>
      <c r="Y42" s="80"/>
      <c r="Z42" s="738"/>
      <c r="AA42" s="133"/>
      <c r="AB42" s="683"/>
      <c r="AC42" s="107">
        <f t="shared" si="0"/>
        <v>1</v>
      </c>
      <c r="AD42" s="3" t="e">
        <f>VLOOKUP(K42,'Assessment Details'!$O$45:$P$48,2,FALSE)</f>
        <v>#N/A</v>
      </c>
      <c r="AE42" s="3" t="e">
        <f>VLOOKUP(R42,'Assessment Details'!$O$45:$P$48,2,FALSE)</f>
        <v>#N/A</v>
      </c>
      <c r="AF42" s="3" t="e">
        <f>VLOOKUP(Y42,'Assessment Details'!$O$45:$P$48,2,FALSE)</f>
        <v>#N/A</v>
      </c>
      <c r="AI42" s="70"/>
      <c r="AJ42" s="671"/>
      <c r="AK42" s="651"/>
      <c r="AL42" s="651"/>
      <c r="AM42" s="651"/>
      <c r="AN42" s="651"/>
      <c r="AO42" s="651"/>
      <c r="AP42" s="651"/>
      <c r="AS42" s="23"/>
      <c r="AT42" s="23"/>
      <c r="AU42" s="23"/>
      <c r="AV42" s="23"/>
      <c r="AW42" s="23"/>
      <c r="AX42" s="23"/>
      <c r="AZ42" s="640"/>
    </row>
    <row r="43" spans="1:58" x14ac:dyDescent="0.25">
      <c r="A43" s="1077">
        <v>34</v>
      </c>
      <c r="B43" s="1078" t="s">
        <v>66</v>
      </c>
      <c r="C43" s="1083" t="str">
        <f t="shared" si="7"/>
        <v>Hea 01</v>
      </c>
      <c r="D43" s="824" t="s">
        <v>732</v>
      </c>
      <c r="E43" s="861" t="str">
        <f>VLOOKUP(D43,Poeng!$B$10:$R$252,Poeng!E$1,FALSE)</f>
        <v xml:space="preserve">View out </v>
      </c>
      <c r="F43" s="122">
        <f>VLOOKUP(D43,Poeng!$B$10:$AB$252,Poeng!AB$1,FALSE)</f>
        <v>1</v>
      </c>
      <c r="G43" s="43"/>
      <c r="H43" s="123">
        <f>VLOOKUP(D43,Poeng!$B$10:$AE$252,Poeng!AE$1,FALSE)</f>
        <v>0</v>
      </c>
      <c r="I43" s="124" t="str">
        <f>VLOOKUP(D43,Poeng!$B$10:$BE$252,Poeng!BE$1,FALSE)</f>
        <v>N/A</v>
      </c>
      <c r="J43" s="80"/>
      <c r="K43" s="281"/>
      <c r="L43" s="796"/>
      <c r="M43" s="816"/>
      <c r="N43" s="83"/>
      <c r="O43" s="123">
        <f>VLOOKUP(D43,Poeng!$B$10:$BC$252,Poeng!AF$1,FALSE)</f>
        <v>0</v>
      </c>
      <c r="P43" s="123" t="str">
        <f>VLOOKUP(D43,Poeng!$B$10:$BH$252,Poeng!BH$1,FALSE)</f>
        <v>N/A</v>
      </c>
      <c r="Q43" s="744"/>
      <c r="R43" s="745"/>
      <c r="S43" s="1096"/>
      <c r="T43" s="319"/>
      <c r="U43" s="83"/>
      <c r="V43" s="123">
        <f>VLOOKUP(D43,Poeng!$B$10:$BC$252,Poeng!AG$1,FALSE)</f>
        <v>0</v>
      </c>
      <c r="W43" s="123" t="str">
        <f>VLOOKUP(D43,Poeng!$B$10:$BK$252,Poeng!BK$1,FALSE)</f>
        <v>N/A</v>
      </c>
      <c r="X43" s="81"/>
      <c r="Y43" s="80"/>
      <c r="Z43" s="1096"/>
      <c r="AA43" s="133"/>
      <c r="AB43" s="683"/>
      <c r="AC43" s="107">
        <f t="shared" si="0"/>
        <v>1</v>
      </c>
      <c r="AD43" s="3" t="e">
        <f>VLOOKUP(K43,'Assessment Details'!$O$45:$P$48,2,FALSE)</f>
        <v>#N/A</v>
      </c>
      <c r="AE43" s="3" t="e">
        <f>VLOOKUP(R43,'Assessment Details'!$O$45:$P$48,2,FALSE)</f>
        <v>#N/A</v>
      </c>
      <c r="AF43" s="3" t="e">
        <f>VLOOKUP(Y43,'Assessment Details'!$O$45:$P$48,2,FALSE)</f>
        <v>#N/A</v>
      </c>
      <c r="AI43" s="70"/>
      <c r="AJ43" s="671"/>
      <c r="AK43" s="651"/>
      <c r="AL43" s="651"/>
      <c r="AM43" s="651"/>
      <c r="AN43" s="651"/>
      <c r="AO43" s="651"/>
      <c r="AP43" s="651"/>
      <c r="AS43" s="23"/>
      <c r="AT43" s="23"/>
      <c r="AU43" s="23"/>
      <c r="AV43" s="23"/>
      <c r="AW43" s="23"/>
      <c r="AX43" s="23"/>
      <c r="AZ43" s="640"/>
    </row>
    <row r="44" spans="1:58" x14ac:dyDescent="0.25">
      <c r="A44" s="1077">
        <v>35</v>
      </c>
      <c r="B44" s="1078" t="s">
        <v>66</v>
      </c>
      <c r="C44" s="1083" t="str">
        <f t="shared" si="7"/>
        <v>Hea 01</v>
      </c>
      <c r="D44" s="824" t="s">
        <v>733</v>
      </c>
      <c r="E44" s="861" t="str">
        <f>VLOOKUP(D44,Poeng!$B$10:$R$252,Poeng!E$1,FALSE)</f>
        <v xml:space="preserve">Sunlight </v>
      </c>
      <c r="F44" s="122">
        <f>VLOOKUP(D44,Poeng!$B$10:$AB$252,Poeng!AB$1,FALSE)</f>
        <v>1</v>
      </c>
      <c r="G44" s="43"/>
      <c r="H44" s="123">
        <f>VLOOKUP(D44,Poeng!$B$10:$AE$252,Poeng!AE$1,FALSE)</f>
        <v>0</v>
      </c>
      <c r="I44" s="124" t="str">
        <f>VLOOKUP(D44,Poeng!$B$10:$BE$252,Poeng!BE$1,FALSE)</f>
        <v>N/A</v>
      </c>
      <c r="J44" s="80"/>
      <c r="K44" s="281"/>
      <c r="L44" s="796"/>
      <c r="M44" s="816"/>
      <c r="N44" s="83"/>
      <c r="O44" s="123">
        <f>VLOOKUP(D44,Poeng!$B$10:$BC$252,Poeng!AF$1,FALSE)</f>
        <v>0</v>
      </c>
      <c r="P44" s="123" t="str">
        <f>VLOOKUP(D44,Poeng!$B$10:$BH$252,Poeng!BH$1,FALSE)</f>
        <v>N/A</v>
      </c>
      <c r="Q44" s="744"/>
      <c r="R44" s="745"/>
      <c r="S44" s="1096"/>
      <c r="T44" s="319"/>
      <c r="U44" s="83"/>
      <c r="V44" s="123">
        <f>VLOOKUP(D44,Poeng!$B$10:$BC$252,Poeng!AG$1,FALSE)</f>
        <v>0</v>
      </c>
      <c r="W44" s="123" t="str">
        <f>VLOOKUP(D44,Poeng!$B$10:$BK$252,Poeng!BK$1,FALSE)</f>
        <v>N/A</v>
      </c>
      <c r="X44" s="81"/>
      <c r="Y44" s="80"/>
      <c r="Z44" s="1096"/>
      <c r="AA44" s="133"/>
      <c r="AB44" s="683"/>
      <c r="AC44" s="107">
        <f t="shared" si="0"/>
        <v>1</v>
      </c>
      <c r="AD44" s="3" t="e">
        <f>VLOOKUP(K44,'Assessment Details'!$O$45:$P$48,2,FALSE)</f>
        <v>#N/A</v>
      </c>
      <c r="AE44" s="3" t="e">
        <f>VLOOKUP(R44,'Assessment Details'!$O$45:$P$48,2,FALSE)</f>
        <v>#N/A</v>
      </c>
      <c r="AF44" s="3" t="e">
        <f>VLOOKUP(Y44,'Assessment Details'!$O$45:$P$48,2,FALSE)</f>
        <v>#N/A</v>
      </c>
      <c r="AI44" s="70"/>
      <c r="AJ44" s="671"/>
      <c r="AK44" s="651"/>
      <c r="AL44" s="651"/>
      <c r="AM44" s="651"/>
      <c r="AN44" s="651"/>
      <c r="AO44" s="651"/>
      <c r="AP44" s="651"/>
      <c r="AS44" s="23"/>
      <c r="AT44" s="23"/>
      <c r="AU44" s="23"/>
      <c r="AV44" s="23"/>
      <c r="AW44" s="23"/>
      <c r="AX44" s="23"/>
      <c r="AZ44" s="640"/>
    </row>
    <row r="45" spans="1:58" x14ac:dyDescent="0.25">
      <c r="A45" s="1077">
        <v>36</v>
      </c>
      <c r="B45" s="1078" t="s">
        <v>66</v>
      </c>
      <c r="C45" s="1083" t="str">
        <f t="shared" si="7"/>
        <v>Hea 01</v>
      </c>
      <c r="D45" s="824" t="s">
        <v>957</v>
      </c>
      <c r="E45" s="861" t="str">
        <f>VLOOKUP(D45,Poeng!$B$10:$R$252,Poeng!E$1,FALSE)</f>
        <v xml:space="preserve">Internal and external lighting levels, zoning and control </v>
      </c>
      <c r="F45" s="122">
        <f>VLOOKUP(D45,Poeng!$B$10:$AB$252,Poeng!AB$1,FALSE)</f>
        <v>1</v>
      </c>
      <c r="G45" s="43"/>
      <c r="H45" s="123">
        <f>VLOOKUP(D45,Poeng!$B$10:$AE$252,Poeng!AE$1,FALSE)</f>
        <v>0</v>
      </c>
      <c r="I45" s="124" t="str">
        <f>VLOOKUP(D45,Poeng!$B$10:$BE$252,Poeng!BE$1,FALSE)</f>
        <v>N/A</v>
      </c>
      <c r="J45" s="80"/>
      <c r="K45" s="281"/>
      <c r="L45" s="796"/>
      <c r="M45" s="816"/>
      <c r="N45" s="83"/>
      <c r="O45" s="123">
        <f>VLOOKUP(D45,Poeng!$B$10:$BC$252,Poeng!AF$1,FALSE)</f>
        <v>0</v>
      </c>
      <c r="P45" s="123" t="str">
        <f>VLOOKUP(D45,Poeng!$B$10:$BH$252,Poeng!BH$1,FALSE)</f>
        <v>N/A</v>
      </c>
      <c r="Q45" s="744"/>
      <c r="R45" s="745"/>
      <c r="S45" s="738"/>
      <c r="T45" s="319"/>
      <c r="U45" s="83"/>
      <c r="V45" s="123">
        <f>VLOOKUP(D45,Poeng!$B$10:$BC$252,Poeng!AG$1,FALSE)</f>
        <v>0</v>
      </c>
      <c r="W45" s="123" t="str">
        <f>VLOOKUP(D45,Poeng!$B$10:$BK$252,Poeng!BK$1,FALSE)</f>
        <v>N/A</v>
      </c>
      <c r="X45" s="81"/>
      <c r="Y45" s="80"/>
      <c r="Z45" s="738"/>
      <c r="AA45" s="133"/>
      <c r="AB45" s="683"/>
      <c r="AC45" s="107">
        <f t="shared" si="0"/>
        <v>1</v>
      </c>
      <c r="AD45" s="3" t="e">
        <f>VLOOKUP(K45,'Assessment Details'!$O$45:$P$48,2,FALSE)</f>
        <v>#N/A</v>
      </c>
      <c r="AE45" s="3" t="e">
        <f>VLOOKUP(R45,'Assessment Details'!$O$45:$P$48,2,FALSE)</f>
        <v>#N/A</v>
      </c>
      <c r="AF45" s="3" t="e">
        <f>VLOOKUP(Y45,'Assessment Details'!$O$45:$P$48,2,FALSE)</f>
        <v>#N/A</v>
      </c>
      <c r="AI45" s="70"/>
      <c r="AJ45" s="671"/>
      <c r="AK45" s="651"/>
      <c r="AL45" s="651"/>
      <c r="AM45" s="651"/>
      <c r="AN45" s="651"/>
      <c r="AO45" s="651"/>
      <c r="AP45" s="651"/>
      <c r="AS45" s="23"/>
      <c r="AT45" s="23"/>
      <c r="AU45" s="23"/>
      <c r="AV45" s="23"/>
      <c r="AW45" s="23"/>
      <c r="AX45" s="23"/>
      <c r="AZ45" s="640"/>
    </row>
    <row r="46" spans="1:58" ht="14.25" customHeight="1" x14ac:dyDescent="0.25">
      <c r="A46" s="1077">
        <v>37</v>
      </c>
      <c r="B46" s="1078" t="s">
        <v>66</v>
      </c>
      <c r="C46" s="924" t="s">
        <v>119</v>
      </c>
      <c r="D46" s="824" t="s">
        <v>119</v>
      </c>
      <c r="E46" s="860" t="str">
        <f>VLOOKUP(D46,Poeng!$B$10:$R$252,Poeng!E$1,FALSE)</f>
        <v>Hea 02 Indoor air quality</v>
      </c>
      <c r="F46" s="865">
        <f>VLOOKUP(D46,Poeng!$B$10:$AB$252,Poeng!AB$1,FALSE)</f>
        <v>4</v>
      </c>
      <c r="G46" s="1001"/>
      <c r="H46" s="866" t="str">
        <f>VLOOKUP(D46,Poeng!$B$10:$AI$252,Poeng!AI$1,FALSE)&amp;" c. "&amp;ROUND(VLOOKUP(D46,Poeng!$B$10:$AE$252,Poeng!AE$1,FALSE)*100,1)&amp;" %"</f>
        <v>0 c. 0 %</v>
      </c>
      <c r="I46" s="924" t="str">
        <f>VLOOKUP(D46,Poeng!$B$10:$BE$252,Poeng!BE$1,FALSE)</f>
        <v>N/A</v>
      </c>
      <c r="J46" s="80"/>
      <c r="K46" s="281"/>
      <c r="L46" s="796"/>
      <c r="M46" s="816"/>
      <c r="N46" s="1001"/>
      <c r="O46" s="877" t="str">
        <f>VLOOKUP(D46,Poeng!$B$10:$BC$252,Poeng!AJ$1,FALSE)&amp;" c. "&amp;ROUND(VLOOKUP(D46,Poeng!$B$10:$BC$252,Poeng!AF$1,FALSE)*100,1)&amp;" %"</f>
        <v>0 c. 0 %</v>
      </c>
      <c r="P46" s="123" t="str">
        <f>VLOOKUP(D46,Poeng!$B$10:$BH$252,Poeng!BH$1,FALSE)</f>
        <v>N/A</v>
      </c>
      <c r="Q46" s="744"/>
      <c r="R46" s="745"/>
      <c r="S46" s="738"/>
      <c r="T46" s="319"/>
      <c r="U46" s="1001"/>
      <c r="V46" s="877" t="str">
        <f>VLOOKUP(D46,Poeng!$B$10:$BC$252,Poeng!AK$1,FALSE)&amp;" c. "&amp;ROUND(VLOOKUP(D46,Poeng!$B$10:$BC$252,Poeng!AG$1,FALSE)*100,1)&amp;" %"</f>
        <v>0 c. 0 %</v>
      </c>
      <c r="W46" s="123" t="str">
        <f>VLOOKUP(D46,Poeng!$B$10:$BK$252,Poeng!BK$1,FALSE)</f>
        <v>N/A</v>
      </c>
      <c r="X46" s="81"/>
      <c r="Y46" s="80"/>
      <c r="Z46" s="738"/>
      <c r="AA46" s="133"/>
      <c r="AB46" s="640" t="s">
        <v>447</v>
      </c>
      <c r="AC46" s="107">
        <f t="shared" si="0"/>
        <v>1</v>
      </c>
      <c r="AD46" s="3" t="e">
        <f>VLOOKUP(K46,'Assessment Details'!$O$45:$P$48,2,FALSE)</f>
        <v>#N/A</v>
      </c>
      <c r="AE46" s="3" t="e">
        <f>VLOOKUP(R46,'Assessment Details'!$O$45:$P$48,2,FALSE)</f>
        <v>#N/A</v>
      </c>
      <c r="AF46" s="3" t="e">
        <f>VLOOKUP(Y46,'Assessment Details'!$O$45:$P$48,2,FALSE)</f>
        <v>#N/A</v>
      </c>
      <c r="AI46" s="70" t="str">
        <f>ais_ja</f>
        <v>Ja</v>
      </c>
      <c r="AJ46" s="671" t="s">
        <v>113</v>
      </c>
      <c r="AK46" s="651" t="s">
        <v>445</v>
      </c>
      <c r="AL46" s="651" t="s">
        <v>446</v>
      </c>
      <c r="AM46" s="651" t="s">
        <v>447</v>
      </c>
      <c r="AN46" s="651" t="s">
        <v>448</v>
      </c>
      <c r="AO46" s="651" t="s">
        <v>439</v>
      </c>
      <c r="AP46" s="651"/>
      <c r="AR46" s="1" t="s">
        <v>13</v>
      </c>
      <c r="AS46" s="23" t="str">
        <f t="shared" si="3"/>
        <v>N/A</v>
      </c>
      <c r="AT46" s="23" t="str">
        <f t="shared" si="1"/>
        <v>N/A</v>
      </c>
      <c r="AU46" s="23" t="str">
        <f t="shared" si="2"/>
        <v>N/A</v>
      </c>
      <c r="AV46" s="23" t="str">
        <f t="shared" ref="AV46" si="8">IF($AJ$4=ais_nei,AIS_NA,IF(AN46="",AIS_NA,AN46))</f>
        <v>N/A</v>
      </c>
      <c r="AW46" s="23" t="str">
        <f t="shared" ref="AW46" si="9">IF($AJ$4=ais_nei,AIS_NA,IF(AO46="",AIS_NA,AO46))</f>
        <v>N/A</v>
      </c>
      <c r="AX46" s="23"/>
      <c r="AZ46" s="640"/>
    </row>
    <row r="47" spans="1:58" x14ac:dyDescent="0.25">
      <c r="A47" s="1077">
        <v>38</v>
      </c>
      <c r="B47" s="1078" t="s">
        <v>66</v>
      </c>
      <c r="C47" s="1083" t="str">
        <f t="shared" si="7"/>
        <v>Hea 02</v>
      </c>
      <c r="D47" s="19" t="s">
        <v>734</v>
      </c>
      <c r="E47" s="861" t="str">
        <f>VLOOKUP(D47,Poeng!$B$10:$R$252,Poeng!E$1,FALSE)</f>
        <v xml:space="preserve">Pre-requisite: indoor air quality </v>
      </c>
      <c r="F47" s="122" t="str">
        <f>VLOOKUP(D47,Poeng!$B$10:$AB$252,Poeng!AB$1,FALSE)</f>
        <v>Yes/No</v>
      </c>
      <c r="G47" s="43"/>
      <c r="H47" s="123" t="str">
        <f>VLOOKUP(D47,Poeng!$B$10:$AE$252,Poeng!AE$1,FALSE)</f>
        <v>-</v>
      </c>
      <c r="I47" s="124" t="str">
        <f>VLOOKUP(D47,Poeng!$B$10:$BE$252,Poeng!BE$1,FALSE)</f>
        <v>Unclassified</v>
      </c>
      <c r="J47" s="80"/>
      <c r="K47" s="281"/>
      <c r="L47" s="796"/>
      <c r="M47" s="816"/>
      <c r="N47" s="83"/>
      <c r="O47" s="123" t="str">
        <f>VLOOKUP(D47,Poeng!$B$10:$BC$252,Poeng!AF$1,FALSE)</f>
        <v>-</v>
      </c>
      <c r="P47" s="123" t="str">
        <f>VLOOKUP(D47,Poeng!$B$10:$BH$252,Poeng!BH$1,FALSE)</f>
        <v>Unclassified</v>
      </c>
      <c r="Q47" s="744"/>
      <c r="R47" s="745"/>
      <c r="S47" s="738"/>
      <c r="T47" s="319"/>
      <c r="U47" s="83"/>
      <c r="V47" s="123" t="str">
        <f>VLOOKUP(D47,Poeng!$B$10:$BC$252,Poeng!AG$1,FALSE)</f>
        <v>-</v>
      </c>
      <c r="W47" s="123" t="str">
        <f>VLOOKUP(D47,Poeng!$B$10:$BK$252,Poeng!BK$1,FALSE)</f>
        <v>Unclassified</v>
      </c>
      <c r="X47" s="81"/>
      <c r="Y47" s="80"/>
      <c r="Z47" s="738"/>
      <c r="AC47" s="107">
        <f t="shared" si="0"/>
        <v>1</v>
      </c>
      <c r="AD47" s="3" t="e">
        <f>VLOOKUP(K47,'Assessment Details'!$O$45:$P$48,2,FALSE)</f>
        <v>#N/A</v>
      </c>
      <c r="AE47" s="3" t="e">
        <f>VLOOKUP(R47,'Assessment Details'!$O$45:$P$48,2,FALSE)</f>
        <v>#N/A</v>
      </c>
      <c r="AF47" s="3" t="e">
        <f>VLOOKUP(Y47,'Assessment Details'!$O$45:$P$48,2,FALSE)</f>
        <v>#N/A</v>
      </c>
    </row>
    <row r="48" spans="1:58" x14ac:dyDescent="0.25">
      <c r="A48" s="1077">
        <v>39</v>
      </c>
      <c r="B48" s="1078" t="s">
        <v>66</v>
      </c>
      <c r="C48" s="1083" t="str">
        <f t="shared" si="7"/>
        <v>Hea 02</v>
      </c>
      <c r="D48" s="19" t="s">
        <v>735</v>
      </c>
      <c r="E48" s="861" t="str">
        <f>VLOOKUP(D48,Poeng!$B$10:$R$252,Poeng!E$1,FALSE)</f>
        <v>Ventilation</v>
      </c>
      <c r="F48" s="122">
        <f>VLOOKUP(D48,Poeng!$B$10:$AB$252,Poeng!AB$1,FALSE)</f>
        <v>1</v>
      </c>
      <c r="G48" s="43"/>
      <c r="H48" s="123">
        <f>VLOOKUP(D48,Poeng!$B$10:$AE$252,Poeng!AE$1,FALSE)</f>
        <v>0</v>
      </c>
      <c r="I48" s="124" t="str">
        <f>VLOOKUP(D48,Poeng!$B$10:$BE$252,Poeng!BE$1,FALSE)</f>
        <v>N/A</v>
      </c>
      <c r="J48" s="80"/>
      <c r="K48" s="281"/>
      <c r="L48" s="796"/>
      <c r="M48" s="816"/>
      <c r="N48" s="83"/>
      <c r="O48" s="123">
        <f>VLOOKUP(D48,Poeng!$B$10:$BC$252,Poeng!AF$1,FALSE)</f>
        <v>0</v>
      </c>
      <c r="P48" s="123" t="str">
        <f>VLOOKUP(D48,Poeng!$B$10:$BH$252,Poeng!BH$1,FALSE)</f>
        <v>N/A</v>
      </c>
      <c r="Q48" s="744"/>
      <c r="R48" s="745"/>
      <c r="S48" s="738"/>
      <c r="T48" s="319"/>
      <c r="U48" s="83"/>
      <c r="V48" s="123">
        <f>VLOOKUP(D48,Poeng!$B$10:$BC$252,Poeng!AG$1,FALSE)</f>
        <v>0</v>
      </c>
      <c r="W48" s="123" t="str">
        <f>VLOOKUP(D48,Poeng!$B$10:$BK$252,Poeng!BK$1,FALSE)</f>
        <v>N/A</v>
      </c>
      <c r="X48" s="81"/>
      <c r="Y48" s="80"/>
      <c r="Z48" s="738"/>
      <c r="AC48" s="107">
        <f t="shared" si="0"/>
        <v>1</v>
      </c>
      <c r="AD48" s="3" t="e">
        <f>VLOOKUP(K48,'Assessment Details'!$O$45:$P$48,2,FALSE)</f>
        <v>#N/A</v>
      </c>
      <c r="AE48" s="3" t="e">
        <f>VLOOKUP(R48,'Assessment Details'!$O$45:$P$48,2,FALSE)</f>
        <v>#N/A</v>
      </c>
      <c r="AF48" s="3" t="e">
        <f>VLOOKUP(Y48,'Assessment Details'!$O$45:$P$48,2,FALSE)</f>
        <v>#N/A</v>
      </c>
    </row>
    <row r="49" spans="1:52" ht="14.25" customHeight="1" x14ac:dyDescent="0.25">
      <c r="A49" s="1077">
        <v>40</v>
      </c>
      <c r="B49" s="1078" t="s">
        <v>66</v>
      </c>
      <c r="C49" s="1083" t="str">
        <f t="shared" si="7"/>
        <v>Hea 02</v>
      </c>
      <c r="D49" s="19" t="s">
        <v>736</v>
      </c>
      <c r="E49" s="1072" t="str">
        <f>VLOOKUP(D49,Poeng!$B$10:$R$252,Poeng!E$1,FALSE)</f>
        <v>Emissions from construction products (EU taxonomy requirement: criterion 5)</v>
      </c>
      <c r="F49" s="122">
        <f>VLOOKUP(D49,Poeng!$B$10:$AB$252,Poeng!AB$1,FALSE)</f>
        <v>2</v>
      </c>
      <c r="G49" s="43"/>
      <c r="H49" s="123">
        <f>VLOOKUP(D49,Poeng!$B$10:$AE$252,Poeng!AE$1,FALSE)</f>
        <v>0</v>
      </c>
      <c r="I49" s="124" t="str">
        <f>VLOOKUP(D49,Poeng!$B$10:$BE$252,Poeng!BE$1,FALSE)</f>
        <v>Very Good</v>
      </c>
      <c r="J49" s="80"/>
      <c r="K49" s="281"/>
      <c r="L49" s="796"/>
      <c r="M49" s="816"/>
      <c r="N49" s="83"/>
      <c r="O49" s="123">
        <f>VLOOKUP(D49,Poeng!$B$10:$BC$252,Poeng!AF$1,FALSE)</f>
        <v>0</v>
      </c>
      <c r="P49" s="123" t="str">
        <f>VLOOKUP(D49,Poeng!$B$10:$BH$252,Poeng!BH$1,FALSE)</f>
        <v>Very Good</v>
      </c>
      <c r="Q49" s="744"/>
      <c r="R49" s="745"/>
      <c r="S49" s="738"/>
      <c r="T49" s="319"/>
      <c r="U49" s="83"/>
      <c r="V49" s="123">
        <f>VLOOKUP(D49,Poeng!$B$10:$BC$252,Poeng!AG$1,FALSE)</f>
        <v>0</v>
      </c>
      <c r="W49" s="123" t="str">
        <f>VLOOKUP(D49,Poeng!$B$10:$BK$252,Poeng!BK$1,FALSE)</f>
        <v>Very Good</v>
      </c>
      <c r="X49" s="81"/>
      <c r="Y49" s="80"/>
      <c r="Z49" s="738"/>
      <c r="AC49" s="107">
        <f t="shared" si="0"/>
        <v>1</v>
      </c>
      <c r="AD49" s="3" t="e">
        <f>VLOOKUP(K49,'Assessment Details'!$O$45:$P$48,2,FALSE)</f>
        <v>#N/A</v>
      </c>
      <c r="AE49" s="3" t="e">
        <f>VLOOKUP(R49,'Assessment Details'!$O$45:$P$48,2,FALSE)</f>
        <v>#N/A</v>
      </c>
      <c r="AF49" s="3" t="e">
        <f>VLOOKUP(Y49,'Assessment Details'!$O$45:$P$48,2,FALSE)</f>
        <v>#N/A</v>
      </c>
    </row>
    <row r="50" spans="1:52" x14ac:dyDescent="0.25">
      <c r="A50" s="1077">
        <v>41</v>
      </c>
      <c r="B50" s="1078" t="s">
        <v>66</v>
      </c>
      <c r="C50" s="1083" t="str">
        <f t="shared" si="7"/>
        <v>Hea 02</v>
      </c>
      <c r="D50" s="19" t="s">
        <v>737</v>
      </c>
      <c r="E50" s="861" t="str">
        <f>VLOOKUP(D50,Poeng!$B$10:$R$252,Poeng!E$1,FALSE)</f>
        <v xml:space="preserve">Post-construction indoor air quality measurement </v>
      </c>
      <c r="F50" s="122">
        <f>VLOOKUP(D50,Poeng!$B$10:$AB$252,Poeng!AB$1,FALSE)</f>
        <v>1</v>
      </c>
      <c r="G50" s="43"/>
      <c r="H50" s="123">
        <f>VLOOKUP(D50,Poeng!$B$10:$AE$252,Poeng!AE$1,FALSE)</f>
        <v>0</v>
      </c>
      <c r="I50" s="124" t="str">
        <f>VLOOKUP(D50,Poeng!$B$10:$BE$252,Poeng!BE$1,FALSE)</f>
        <v>N/A</v>
      </c>
      <c r="J50" s="80"/>
      <c r="K50" s="281"/>
      <c r="L50" s="796"/>
      <c r="M50" s="816"/>
      <c r="N50" s="83"/>
      <c r="O50" s="123">
        <f>VLOOKUP(D50,Poeng!$B$10:$BC$252,Poeng!AF$1,FALSE)</f>
        <v>0</v>
      </c>
      <c r="P50" s="123" t="str">
        <f>VLOOKUP(D50,Poeng!$B$10:$BH$252,Poeng!BH$1,FALSE)</f>
        <v>N/A</v>
      </c>
      <c r="Q50" s="744"/>
      <c r="R50" s="745"/>
      <c r="S50" s="738"/>
      <c r="T50" s="319"/>
      <c r="U50" s="83"/>
      <c r="V50" s="123">
        <f>VLOOKUP(D50,Poeng!$B$10:$BC$252,Poeng!AG$1,FALSE)</f>
        <v>0</v>
      </c>
      <c r="W50" s="123" t="str">
        <f>VLOOKUP(D50,Poeng!$B$10:$BK$252,Poeng!BK$1,FALSE)</f>
        <v>N/A</v>
      </c>
      <c r="X50" s="81"/>
      <c r="Y50" s="80"/>
      <c r="Z50" s="738"/>
      <c r="AC50" s="107">
        <f t="shared" si="0"/>
        <v>1</v>
      </c>
      <c r="AD50" s="3" t="e">
        <f>VLOOKUP(K50,'Assessment Details'!$O$45:$P$48,2,FALSE)</f>
        <v>#N/A</v>
      </c>
      <c r="AE50" s="3" t="e">
        <f>VLOOKUP(R50,'Assessment Details'!$O$45:$P$48,2,FALSE)</f>
        <v>#N/A</v>
      </c>
      <c r="AF50" s="3" t="e">
        <f>VLOOKUP(Y50,'Assessment Details'!$O$45:$P$48,2,FALSE)</f>
        <v>#N/A</v>
      </c>
    </row>
    <row r="51" spans="1:52" x14ac:dyDescent="0.25">
      <c r="A51" s="1077">
        <v>42</v>
      </c>
      <c r="B51" s="1078" t="s">
        <v>66</v>
      </c>
      <c r="C51" s="924" t="s">
        <v>120</v>
      </c>
      <c r="D51" s="824" t="s">
        <v>120</v>
      </c>
      <c r="E51" s="860" t="str">
        <f>VLOOKUP(D51,Poeng!$B$10:$R$252,Poeng!E$1,FALSE)</f>
        <v>Hea 03 Thermal comfort</v>
      </c>
      <c r="F51" s="865">
        <f>VLOOKUP(D51,Poeng!$B$10:$AB$252,Poeng!AB$1,FALSE)</f>
        <v>3</v>
      </c>
      <c r="G51" s="1001"/>
      <c r="H51" s="866" t="str">
        <f>VLOOKUP(D51,Poeng!$B$10:$AI$252,Poeng!AI$1,FALSE)&amp;" c. "&amp;ROUND(VLOOKUP(D51,Poeng!$B$10:$AE$252,Poeng!AE$1,FALSE)*100,1)&amp;" %"</f>
        <v>0 c. 0 %</v>
      </c>
      <c r="I51" s="924" t="str">
        <f>VLOOKUP(D51,Poeng!$B$10:$BE$252,Poeng!BE$1,FALSE)</f>
        <v>N/A</v>
      </c>
      <c r="J51" s="80"/>
      <c r="K51" s="281"/>
      <c r="L51" s="796"/>
      <c r="M51" s="816"/>
      <c r="N51" s="1001"/>
      <c r="O51" s="877" t="str">
        <f>VLOOKUP(D51,Poeng!$B$10:$BC$252,Poeng!AJ$1,FALSE)&amp;" c. "&amp;ROUND(VLOOKUP(D51,Poeng!$B$10:$BC$252,Poeng!AF$1,FALSE)*100,1)&amp;" %"</f>
        <v>0 c. 0 %</v>
      </c>
      <c r="P51" s="123" t="str">
        <f>VLOOKUP(D51,Poeng!$B$10:$BH$252,Poeng!BH$1,FALSE)</f>
        <v>N/A</v>
      </c>
      <c r="Q51" s="744"/>
      <c r="R51" s="745"/>
      <c r="S51" s="738"/>
      <c r="T51" s="319"/>
      <c r="U51" s="1001"/>
      <c r="V51" s="877" t="str">
        <f>VLOOKUP(D51,Poeng!$B$10:$BC$252,Poeng!AK$1,FALSE)&amp;" c. "&amp;ROUND(VLOOKUP(D51,Poeng!$B$10:$BC$252,Poeng!AG$1,FALSE)*100,1)&amp;" %"</f>
        <v>0 c. 0 %</v>
      </c>
      <c r="W51" s="123" t="str">
        <f>VLOOKUP(D51,Poeng!$B$10:$BK$252,Poeng!BK$1,FALSE)</f>
        <v>N/A</v>
      </c>
      <c r="X51" s="81"/>
      <c r="Y51" s="80"/>
      <c r="Z51" s="738"/>
      <c r="AA51" s="133"/>
      <c r="AB51" s="640" t="s">
        <v>13</v>
      </c>
      <c r="AC51" s="107">
        <f t="shared" si="0"/>
        <v>1</v>
      </c>
      <c r="AD51" s="3" t="e">
        <f>VLOOKUP(K51,'Assessment Details'!$O$45:$P$48,2,FALSE)</f>
        <v>#N/A</v>
      </c>
      <c r="AE51" s="3" t="e">
        <f>VLOOKUP(R51,'Assessment Details'!$O$45:$P$48,2,FALSE)</f>
        <v>#N/A</v>
      </c>
      <c r="AF51" s="3" t="e">
        <f>VLOOKUP(Y51,'Assessment Details'!$O$45:$P$48,2,FALSE)</f>
        <v>#N/A</v>
      </c>
      <c r="AI51" s="70" t="str">
        <f>ais_ja</f>
        <v>Ja</v>
      </c>
      <c r="AJ51" s="671" t="s">
        <v>114</v>
      </c>
      <c r="AK51" s="648" t="s">
        <v>407</v>
      </c>
      <c r="AL51" s="648" t="s">
        <v>411</v>
      </c>
      <c r="AM51" s="648" t="s">
        <v>409</v>
      </c>
      <c r="AN51" s="70"/>
      <c r="AO51" s="70"/>
      <c r="AP51" s="70"/>
      <c r="AR51" s="1" t="s">
        <v>13</v>
      </c>
      <c r="AS51" s="23" t="str">
        <f t="shared" si="3"/>
        <v>N/A</v>
      </c>
      <c r="AT51" s="23" t="str">
        <f t="shared" si="1"/>
        <v>N/A</v>
      </c>
      <c r="AU51" s="23" t="str">
        <f t="shared" si="2"/>
        <v>N/A</v>
      </c>
      <c r="AV51" s="23"/>
      <c r="AW51" s="23"/>
      <c r="AX51" s="23"/>
      <c r="AZ51" s="640"/>
    </row>
    <row r="52" spans="1:52" x14ac:dyDescent="0.25">
      <c r="A52" s="1077">
        <v>43</v>
      </c>
      <c r="B52" s="1078" t="s">
        <v>66</v>
      </c>
      <c r="C52" s="1083" t="str">
        <f t="shared" si="7"/>
        <v>Hea 03</v>
      </c>
      <c r="D52" s="824" t="s">
        <v>738</v>
      </c>
      <c r="E52" s="861" t="str">
        <f>VLOOKUP(D52,Poeng!$B$10:$R$252,Poeng!E$1,FALSE)</f>
        <v xml:space="preserve">Thermal modelling </v>
      </c>
      <c r="F52" s="122">
        <f>VLOOKUP(D52,Poeng!$B$10:$AB$252,Poeng!AB$1,FALSE)</f>
        <v>1</v>
      </c>
      <c r="G52" s="43"/>
      <c r="H52" s="123">
        <f>VLOOKUP(D52,Poeng!$B$10:$AE$252,Poeng!AE$1,FALSE)</f>
        <v>0</v>
      </c>
      <c r="I52" s="124" t="str">
        <f>VLOOKUP(D52,Poeng!$B$10:$BE$252,Poeng!BE$1,FALSE)</f>
        <v>N/A</v>
      </c>
      <c r="J52" s="80"/>
      <c r="K52" s="281"/>
      <c r="L52" s="796"/>
      <c r="M52" s="816"/>
      <c r="N52" s="83"/>
      <c r="O52" s="123">
        <f>VLOOKUP(D52,Poeng!$B$10:$BC$252,Poeng!AF$1,FALSE)</f>
        <v>0</v>
      </c>
      <c r="P52" s="123" t="str">
        <f>VLOOKUP(D52,Poeng!$B$10:$BH$252,Poeng!BH$1,FALSE)</f>
        <v>N/A</v>
      </c>
      <c r="Q52" s="744"/>
      <c r="R52" s="745"/>
      <c r="S52" s="738"/>
      <c r="T52" s="319"/>
      <c r="U52" s="83"/>
      <c r="V52" s="123">
        <f>VLOOKUP(D52,Poeng!$B$10:$BC$252,Poeng!AG$1,FALSE)</f>
        <v>0</v>
      </c>
      <c r="W52" s="123" t="str">
        <f>VLOOKUP(D52,Poeng!$B$10:$BK$252,Poeng!BK$1,FALSE)</f>
        <v>N/A</v>
      </c>
      <c r="X52" s="81"/>
      <c r="Y52" s="80"/>
      <c r="Z52" s="1096"/>
      <c r="AA52" s="133"/>
      <c r="AB52" s="640"/>
      <c r="AC52" s="107">
        <f t="shared" si="0"/>
        <v>1</v>
      </c>
      <c r="AD52" s="3" t="e">
        <f>VLOOKUP(K52,'Assessment Details'!$O$45:$P$48,2,FALSE)</f>
        <v>#N/A</v>
      </c>
      <c r="AE52" s="3" t="e">
        <f>VLOOKUP(R52,'Assessment Details'!$O$45:$P$48,2,FALSE)</f>
        <v>#N/A</v>
      </c>
      <c r="AF52" s="3" t="e">
        <f>VLOOKUP(Y52,'Assessment Details'!$O$45:$P$48,2,FALSE)</f>
        <v>#N/A</v>
      </c>
      <c r="AI52" s="70"/>
      <c r="AJ52" s="671"/>
      <c r="AK52" s="648"/>
      <c r="AL52" s="648"/>
      <c r="AM52" s="648"/>
      <c r="AN52" s="70"/>
      <c r="AO52" s="70"/>
      <c r="AP52" s="70"/>
      <c r="AS52" s="23"/>
      <c r="AT52" s="23"/>
      <c r="AU52" s="23"/>
      <c r="AV52" s="23"/>
      <c r="AW52" s="23"/>
      <c r="AX52" s="23"/>
      <c r="AZ52" s="640"/>
    </row>
    <row r="53" spans="1:52" x14ac:dyDescent="0.25">
      <c r="A53" s="1077">
        <v>44</v>
      </c>
      <c r="B53" s="1078" t="s">
        <v>66</v>
      </c>
      <c r="C53" s="1083" t="str">
        <f t="shared" si="7"/>
        <v>Hea 03</v>
      </c>
      <c r="D53" s="824" t="s">
        <v>739</v>
      </c>
      <c r="E53" s="861" t="str">
        <f>VLOOKUP(D53,Poeng!$B$10:$R$252,Poeng!E$1,FALSE)</f>
        <v xml:space="preserve">Design for future thermal comfort </v>
      </c>
      <c r="F53" s="122">
        <f>VLOOKUP(D53,Poeng!$B$10:$AB$252,Poeng!AB$1,FALSE)</f>
        <v>1</v>
      </c>
      <c r="G53" s="43"/>
      <c r="H53" s="123">
        <f>VLOOKUP(D53,Poeng!$B$10:$AE$252,Poeng!AE$1,FALSE)</f>
        <v>0</v>
      </c>
      <c r="I53" s="124" t="str">
        <f>VLOOKUP(D53,Poeng!$B$10:$BE$252,Poeng!BE$1,FALSE)</f>
        <v>N/A</v>
      </c>
      <c r="J53" s="80"/>
      <c r="K53" s="281"/>
      <c r="L53" s="796"/>
      <c r="M53" s="816"/>
      <c r="N53" s="83"/>
      <c r="O53" s="123">
        <f>VLOOKUP(D53,Poeng!$B$10:$BC$252,Poeng!AF$1,FALSE)</f>
        <v>0</v>
      </c>
      <c r="P53" s="123" t="str">
        <f>VLOOKUP(D53,Poeng!$B$10:$BH$252,Poeng!BH$1,FALSE)</f>
        <v>N/A</v>
      </c>
      <c r="Q53" s="744"/>
      <c r="R53" s="745"/>
      <c r="S53" s="738"/>
      <c r="T53" s="319"/>
      <c r="U53" s="83"/>
      <c r="V53" s="123">
        <f>VLOOKUP(D53,Poeng!$B$10:$BC$252,Poeng!AG$1,FALSE)</f>
        <v>0</v>
      </c>
      <c r="W53" s="123" t="str">
        <f>VLOOKUP(D53,Poeng!$B$10:$BK$252,Poeng!BK$1,FALSE)</f>
        <v>N/A</v>
      </c>
      <c r="X53" s="81"/>
      <c r="Y53" s="80"/>
      <c r="Z53" s="1096"/>
      <c r="AA53" s="133"/>
      <c r="AB53" s="640"/>
      <c r="AC53" s="107">
        <f t="shared" si="0"/>
        <v>1</v>
      </c>
      <c r="AD53" s="3" t="e">
        <f>VLOOKUP(K53,'Assessment Details'!$O$45:$P$48,2,FALSE)</f>
        <v>#N/A</v>
      </c>
      <c r="AE53" s="3" t="e">
        <f>VLOOKUP(R53,'Assessment Details'!$O$45:$P$48,2,FALSE)</f>
        <v>#N/A</v>
      </c>
      <c r="AF53" s="3" t="e">
        <f>VLOOKUP(Y53,'Assessment Details'!$O$45:$P$48,2,FALSE)</f>
        <v>#N/A</v>
      </c>
      <c r="AI53" s="70"/>
      <c r="AJ53" s="671"/>
      <c r="AK53" s="648"/>
      <c r="AL53" s="648"/>
      <c r="AM53" s="648"/>
      <c r="AN53" s="70"/>
      <c r="AO53" s="70"/>
      <c r="AP53" s="70"/>
      <c r="AS53" s="23"/>
      <c r="AT53" s="23"/>
      <c r="AU53" s="23"/>
      <c r="AV53" s="23"/>
      <c r="AW53" s="23"/>
      <c r="AX53" s="23"/>
      <c r="AZ53" s="640"/>
    </row>
    <row r="54" spans="1:52" x14ac:dyDescent="0.25">
      <c r="A54" s="1077">
        <v>45</v>
      </c>
      <c r="B54" s="1078" t="s">
        <v>66</v>
      </c>
      <c r="C54" s="1083" t="str">
        <f t="shared" si="7"/>
        <v>Hea 03</v>
      </c>
      <c r="D54" s="824" t="s">
        <v>740</v>
      </c>
      <c r="E54" s="861" t="str">
        <f>VLOOKUP(D54,Poeng!$B$10:$R$252,Poeng!E$1,FALSE)</f>
        <v xml:space="preserve">Thermal zoning and controls </v>
      </c>
      <c r="F54" s="122">
        <f>VLOOKUP(D54,Poeng!$B$10:$AB$252,Poeng!AB$1,FALSE)</f>
        <v>1</v>
      </c>
      <c r="G54" s="43"/>
      <c r="H54" s="123">
        <f>VLOOKUP(D54,Poeng!$B$10:$AE$252,Poeng!AE$1,FALSE)</f>
        <v>0</v>
      </c>
      <c r="I54" s="124" t="str">
        <f>VLOOKUP(D54,Poeng!$B$10:$BE$252,Poeng!BE$1,FALSE)</f>
        <v>N/A</v>
      </c>
      <c r="J54" s="80"/>
      <c r="K54" s="281"/>
      <c r="L54" s="796"/>
      <c r="M54" s="816"/>
      <c r="N54" s="83"/>
      <c r="O54" s="123">
        <f>VLOOKUP(D54,Poeng!$B$10:$BC$252,Poeng!AF$1,FALSE)</f>
        <v>0</v>
      </c>
      <c r="P54" s="123" t="str">
        <f>VLOOKUP(D54,Poeng!$B$10:$BH$252,Poeng!BH$1,FALSE)</f>
        <v>N/A</v>
      </c>
      <c r="Q54" s="744"/>
      <c r="R54" s="745"/>
      <c r="S54" s="738"/>
      <c r="T54" s="319"/>
      <c r="U54" s="83"/>
      <c r="V54" s="123">
        <f>VLOOKUP(D54,Poeng!$B$10:$BC$252,Poeng!AG$1,FALSE)</f>
        <v>0</v>
      </c>
      <c r="W54" s="123" t="str">
        <f>VLOOKUP(D54,Poeng!$B$10:$BK$252,Poeng!BK$1,FALSE)</f>
        <v>N/A</v>
      </c>
      <c r="X54" s="81"/>
      <c r="Y54" s="80"/>
      <c r="Z54" s="1096"/>
      <c r="AA54" s="133"/>
      <c r="AB54" s="640"/>
      <c r="AC54" s="107">
        <f t="shared" si="0"/>
        <v>1</v>
      </c>
      <c r="AD54" s="3" t="e">
        <f>VLOOKUP(K54,'Assessment Details'!$O$45:$P$48,2,FALSE)</f>
        <v>#N/A</v>
      </c>
      <c r="AE54" s="3" t="e">
        <f>VLOOKUP(R54,'Assessment Details'!$O$45:$P$48,2,FALSE)</f>
        <v>#N/A</v>
      </c>
      <c r="AF54" s="3" t="e">
        <f>VLOOKUP(Y54,'Assessment Details'!$O$45:$P$48,2,FALSE)</f>
        <v>#N/A</v>
      </c>
      <c r="AI54" s="70"/>
      <c r="AJ54" s="671"/>
      <c r="AK54" s="648"/>
      <c r="AL54" s="648"/>
      <c r="AM54" s="648"/>
      <c r="AN54" s="70"/>
      <c r="AO54" s="70"/>
      <c r="AP54" s="70"/>
      <c r="AS54" s="23"/>
      <c r="AT54" s="23"/>
      <c r="AU54" s="23"/>
      <c r="AV54" s="23"/>
      <c r="AW54" s="23"/>
      <c r="AX54" s="23"/>
      <c r="AZ54" s="640"/>
    </row>
    <row r="55" spans="1:52" x14ac:dyDescent="0.25">
      <c r="A55" s="1077">
        <v>46</v>
      </c>
      <c r="B55" s="1078" t="s">
        <v>66</v>
      </c>
      <c r="C55" s="924" t="s">
        <v>122</v>
      </c>
      <c r="D55" s="824" t="s">
        <v>122</v>
      </c>
      <c r="E55" s="860" t="str">
        <f>VLOOKUP(D55,Poeng!$B$10:$R$252,Poeng!E$1,FALSE)</f>
        <v>Hea 05 Acoustic performance</v>
      </c>
      <c r="F55" s="865">
        <f>VLOOKUP(D55,Poeng!$B$10:$AB$252,Poeng!AB$1,FALSE)</f>
        <v>3</v>
      </c>
      <c r="G55" s="1001"/>
      <c r="H55" s="866" t="str">
        <f>VLOOKUP(D55,Poeng!$B$10:$AI$252,Poeng!AI$1,FALSE)&amp;" c. "&amp;ROUND(VLOOKUP(D55,Poeng!$B$10:$AE$252,Poeng!AE$1,FALSE)*100,1)&amp;" %"</f>
        <v>0 c. 0 %</v>
      </c>
      <c r="I55" s="924" t="str">
        <f>VLOOKUP(D55,Poeng!$B$10:$BE$252,Poeng!BE$1,FALSE)</f>
        <v>N/A</v>
      </c>
      <c r="J55" s="80"/>
      <c r="K55" s="281"/>
      <c r="L55" s="796"/>
      <c r="M55" s="816"/>
      <c r="N55" s="1001"/>
      <c r="O55" s="877" t="str">
        <f>VLOOKUP(D55,Poeng!$B$10:$BC$252,Poeng!AJ$1,FALSE)&amp;" c. "&amp;ROUND(VLOOKUP(D55,Poeng!$B$10:$BC$252,Poeng!AF$1,FALSE)*100,1)&amp;" %"</f>
        <v>0 c. 0 %</v>
      </c>
      <c r="P55" s="123" t="str">
        <f>VLOOKUP(D55,Poeng!$B$10:$BH$252,Poeng!BH$1,FALSE)</f>
        <v>N/A</v>
      </c>
      <c r="Q55" s="744"/>
      <c r="R55" s="745"/>
      <c r="S55" s="738"/>
      <c r="T55" s="319"/>
      <c r="U55" s="1001"/>
      <c r="V55" s="877" t="str">
        <f>VLOOKUP(D55,Poeng!$B$10:$BC$252,Poeng!AK$1,FALSE)&amp;" c. "&amp;ROUND(VLOOKUP(D55,Poeng!$B$10:$BC$252,Poeng!AG$1,FALSE)*100,1)&amp;" %"</f>
        <v>0 c. 0 %</v>
      </c>
      <c r="W55" s="123" t="str">
        <f>VLOOKUP(D55,Poeng!$B$10:$BK$252,Poeng!BK$1,FALSE)</f>
        <v>N/A</v>
      </c>
      <c r="X55" s="81"/>
      <c r="Y55" s="80"/>
      <c r="Z55" s="738"/>
      <c r="AA55" s="133"/>
      <c r="AB55" s="640" t="s">
        <v>13</v>
      </c>
      <c r="AC55" s="107">
        <f t="shared" si="0"/>
        <v>1</v>
      </c>
      <c r="AD55" s="3" t="e">
        <f>VLOOKUP(K55,'Assessment Details'!$O$45:$P$48,2,FALSE)</f>
        <v>#N/A</v>
      </c>
      <c r="AE55" s="3" t="e">
        <f>VLOOKUP(R55,'Assessment Details'!$O$45:$P$48,2,FALSE)</f>
        <v>#N/A</v>
      </c>
      <c r="AF55" s="3" t="e">
        <f>VLOOKUP(Y55,'Assessment Details'!$O$45:$P$48,2,FALSE)</f>
        <v>#N/A</v>
      </c>
      <c r="AI55" s="70"/>
      <c r="AJ55" s="671" t="s">
        <v>128</v>
      </c>
      <c r="AK55" s="648" t="s">
        <v>13</v>
      </c>
      <c r="AL55" s="652" t="s">
        <v>12</v>
      </c>
      <c r="AM55" s="70"/>
      <c r="AN55" s="70"/>
      <c r="AO55" s="70"/>
      <c r="AP55" s="70"/>
      <c r="AS55" s="23" t="str">
        <f t="shared" si="3"/>
        <v>N/A</v>
      </c>
      <c r="AT55" s="23" t="str">
        <f t="shared" si="1"/>
        <v>N/A</v>
      </c>
      <c r="AU55" s="23" t="str">
        <f t="shared" si="2"/>
        <v>N/A</v>
      </c>
      <c r="AV55" s="23"/>
      <c r="AW55" s="23"/>
      <c r="AX55" s="23"/>
      <c r="AZ55" s="640"/>
    </row>
    <row r="56" spans="1:52" x14ac:dyDescent="0.25">
      <c r="A56" s="1077">
        <v>47</v>
      </c>
      <c r="B56" s="1078" t="s">
        <v>66</v>
      </c>
      <c r="C56" s="1083" t="str">
        <f t="shared" si="7"/>
        <v>Hea 05</v>
      </c>
      <c r="D56" s="824" t="s">
        <v>741</v>
      </c>
      <c r="E56" s="861" t="str">
        <f>VLOOKUP(D56,Poeng!$B$10:$R$252,Poeng!E$1,FALSE)</f>
        <v xml:space="preserve">Pre-requisite: suitably qualified acoustician </v>
      </c>
      <c r="F56" s="122" t="str">
        <f>VLOOKUP(D56,Poeng!$B$10:$AB$252,Poeng!AB$1,FALSE)</f>
        <v>Yes/No</v>
      </c>
      <c r="G56" s="43"/>
      <c r="H56" s="123" t="str">
        <f>VLOOKUP(D56,Poeng!$B$10:$AE$252,Poeng!AE$1,FALSE)</f>
        <v>-</v>
      </c>
      <c r="I56" s="124" t="str">
        <f>VLOOKUP(D56,Poeng!$B$10:$BE$252,Poeng!BE$1,FALSE)</f>
        <v>N/A</v>
      </c>
      <c r="J56" s="80"/>
      <c r="K56" s="281"/>
      <c r="L56" s="796"/>
      <c r="M56" s="816"/>
      <c r="N56" s="83"/>
      <c r="O56" s="123" t="str">
        <f>VLOOKUP(D56,Poeng!$B$10:$BC$252,Poeng!AF$1,FALSE)</f>
        <v>-</v>
      </c>
      <c r="P56" s="123" t="str">
        <f>VLOOKUP(D56,Poeng!$B$10:$BH$252,Poeng!BH$1,FALSE)</f>
        <v>N/A</v>
      </c>
      <c r="Q56" s="744"/>
      <c r="R56" s="745"/>
      <c r="S56" s="738"/>
      <c r="T56" s="319"/>
      <c r="U56" s="83"/>
      <c r="V56" s="123" t="str">
        <f>VLOOKUP(D56,Poeng!$B$10:$BC$252,Poeng!AG$1,FALSE)</f>
        <v>-</v>
      </c>
      <c r="W56" s="123" t="str">
        <f>VLOOKUP(D56,Poeng!$B$10:$BK$252,Poeng!BK$1,FALSE)</f>
        <v>N/A</v>
      </c>
      <c r="X56" s="81"/>
      <c r="Y56" s="80"/>
      <c r="Z56" s="738"/>
      <c r="AA56" s="133"/>
      <c r="AB56" s="640"/>
      <c r="AC56" s="107">
        <f t="shared" si="0"/>
        <v>1</v>
      </c>
      <c r="AD56" s="3" t="e">
        <f>VLOOKUP(K56,'Assessment Details'!$O$45:$P$48,2,FALSE)</f>
        <v>#N/A</v>
      </c>
      <c r="AE56" s="3" t="e">
        <f>VLOOKUP(R56,'Assessment Details'!$O$45:$P$48,2,FALSE)</f>
        <v>#N/A</v>
      </c>
      <c r="AF56" s="3" t="e">
        <f>VLOOKUP(Y56,'Assessment Details'!$O$45:$P$48,2,FALSE)</f>
        <v>#N/A</v>
      </c>
      <c r="AI56" s="70"/>
      <c r="AJ56" s="671"/>
      <c r="AK56" s="648"/>
      <c r="AL56" s="652"/>
      <c r="AM56" s="70"/>
      <c r="AN56" s="70"/>
      <c r="AO56" s="70"/>
      <c r="AP56" s="70"/>
      <c r="AS56" s="23"/>
      <c r="AT56" s="23"/>
      <c r="AU56" s="23"/>
      <c r="AV56" s="23"/>
      <c r="AW56" s="23"/>
      <c r="AX56" s="23"/>
      <c r="AZ56" s="640"/>
    </row>
    <row r="57" spans="1:52" x14ac:dyDescent="0.25">
      <c r="A57" s="1077">
        <v>48</v>
      </c>
      <c r="B57" s="1078" t="s">
        <v>66</v>
      </c>
      <c r="C57" s="1083" t="str">
        <f t="shared" si="7"/>
        <v>Hea 05</v>
      </c>
      <c r="D57" s="824" t="s">
        <v>742</v>
      </c>
      <c r="E57" s="861" t="str">
        <f>VLOOKUP(D57,Poeng!$B$10:$R$252,Poeng!E$1,FALSE)</f>
        <v xml:space="preserve">Sound class requirements </v>
      </c>
      <c r="F57" s="122">
        <f>VLOOKUP(D57,Poeng!$B$10:$AB$252,Poeng!AB$1,FALSE)</f>
        <v>3</v>
      </c>
      <c r="G57" s="43"/>
      <c r="H57" s="123">
        <f>VLOOKUP(D57,Poeng!$B$10:$AE$252,Poeng!AE$1,FALSE)</f>
        <v>0</v>
      </c>
      <c r="I57" s="124" t="str">
        <f>VLOOKUP(D57,Poeng!$B$10:$BE$252,Poeng!BE$1,FALSE)</f>
        <v>N/A</v>
      </c>
      <c r="J57" s="80"/>
      <c r="K57" s="281"/>
      <c r="L57" s="796"/>
      <c r="M57" s="816"/>
      <c r="N57" s="83"/>
      <c r="O57" s="123">
        <f>VLOOKUP(D57,Poeng!$B$10:$BC$252,Poeng!AF$1,FALSE)</f>
        <v>0</v>
      </c>
      <c r="P57" s="123" t="str">
        <f>VLOOKUP(D57,Poeng!$B$10:$BH$252,Poeng!BH$1,FALSE)</f>
        <v>N/A</v>
      </c>
      <c r="Q57" s="744"/>
      <c r="R57" s="745"/>
      <c r="S57" s="1096"/>
      <c r="T57" s="319"/>
      <c r="U57" s="83"/>
      <c r="V57" s="123">
        <f>VLOOKUP(D57,Poeng!$B$10:$BC$252,Poeng!AG$1,FALSE)</f>
        <v>0</v>
      </c>
      <c r="W57" s="123" t="str">
        <f>VLOOKUP(D57,Poeng!$B$10:$BK$252,Poeng!BK$1,FALSE)</f>
        <v>N/A</v>
      </c>
      <c r="X57" s="81"/>
      <c r="Y57" s="80"/>
      <c r="Z57" s="1096"/>
      <c r="AA57" s="133"/>
      <c r="AB57" s="640"/>
      <c r="AC57" s="107">
        <f t="shared" si="0"/>
        <v>1</v>
      </c>
      <c r="AD57" s="3" t="e">
        <f>VLOOKUP(K57,'Assessment Details'!$O$45:$P$48,2,FALSE)</f>
        <v>#N/A</v>
      </c>
      <c r="AE57" s="3" t="e">
        <f>VLOOKUP(R57,'Assessment Details'!$O$45:$P$48,2,FALSE)</f>
        <v>#N/A</v>
      </c>
      <c r="AF57" s="3" t="e">
        <f>VLOOKUP(Y57,'Assessment Details'!$O$45:$P$48,2,FALSE)</f>
        <v>#N/A</v>
      </c>
      <c r="AI57" s="70"/>
      <c r="AJ57" s="671"/>
      <c r="AK57" s="648"/>
      <c r="AL57" s="652"/>
      <c r="AM57" s="70"/>
      <c r="AN57" s="70"/>
      <c r="AO57" s="70"/>
      <c r="AP57" s="70"/>
      <c r="AS57" s="23"/>
      <c r="AT57" s="23"/>
      <c r="AU57" s="23"/>
      <c r="AV57" s="23"/>
      <c r="AW57" s="23"/>
      <c r="AX57" s="23"/>
      <c r="AZ57" s="640"/>
    </row>
    <row r="58" spans="1:52" x14ac:dyDescent="0.25">
      <c r="A58" s="1077">
        <v>49</v>
      </c>
      <c r="B58" s="1078" t="s">
        <v>66</v>
      </c>
      <c r="C58" s="924" t="s">
        <v>123</v>
      </c>
      <c r="D58" s="824" t="s">
        <v>123</v>
      </c>
      <c r="E58" s="860" t="str">
        <f>VLOOKUP(D58,Poeng!$B$10:$R$252,Poeng!E$1,FALSE)</f>
        <v>Hea 06 Safe access</v>
      </c>
      <c r="F58" s="865">
        <f>VLOOKUP(D58,Poeng!$B$10:$AB$252,Poeng!AB$1,FALSE)</f>
        <v>2</v>
      </c>
      <c r="G58" s="1001"/>
      <c r="H58" s="866" t="str">
        <f>VLOOKUP(D58,Poeng!$B$10:$AI$252,Poeng!AI$1,FALSE)&amp;" c. "&amp;ROUND(VLOOKUP(D58,Poeng!$B$10:$AE$252,Poeng!AE$1,FALSE)*100,1)&amp;" %"</f>
        <v>0 c. 0 %</v>
      </c>
      <c r="I58" s="924" t="str">
        <f>VLOOKUP(D58,Poeng!$B$10:$BE$252,Poeng!BE$1,FALSE)</f>
        <v>N/A</v>
      </c>
      <c r="J58" s="80"/>
      <c r="K58" s="281"/>
      <c r="L58" s="796"/>
      <c r="M58" s="816"/>
      <c r="N58" s="1001"/>
      <c r="O58" s="877" t="str">
        <f>VLOOKUP(D58,Poeng!$B$10:$BC$252,Poeng!AJ$1,FALSE)&amp;" c. "&amp;ROUND(VLOOKUP(D58,Poeng!$B$10:$BC$252,Poeng!AF$1,FALSE)*100,1)&amp;" %"</f>
        <v>0 c. 0 %</v>
      </c>
      <c r="P58" s="123" t="str">
        <f>VLOOKUP(D58,Poeng!$B$10:$BH$252,Poeng!BH$1,FALSE)</f>
        <v>N/A</v>
      </c>
      <c r="Q58" s="744"/>
      <c r="R58" s="745"/>
      <c r="S58" s="738"/>
      <c r="T58" s="319"/>
      <c r="U58" s="1001"/>
      <c r="V58" s="877" t="str">
        <f>VLOOKUP(D58,Poeng!$B$10:$BC$252,Poeng!AK$1,FALSE)&amp;" c. "&amp;ROUND(VLOOKUP(D58,Poeng!$B$10:$BC$252,Poeng!AG$1,FALSE)*100,1)&amp;" %"</f>
        <v>0 c. 0 %</v>
      </c>
      <c r="W58" s="123" t="str">
        <f>VLOOKUP(D58,Poeng!$B$10:$BK$252,Poeng!BK$1,FALSE)</f>
        <v>N/A</v>
      </c>
      <c r="X58" s="81"/>
      <c r="Y58" s="80"/>
      <c r="Z58" s="738"/>
      <c r="AA58" s="133"/>
      <c r="AB58" s="640" t="s">
        <v>14</v>
      </c>
      <c r="AC58" s="107">
        <f t="shared" si="0"/>
        <v>1</v>
      </c>
      <c r="AD58" s="3" t="e">
        <f>VLOOKUP(K58,'Assessment Details'!$O$45:$P$48,2,FALSE)</f>
        <v>#N/A</v>
      </c>
      <c r="AE58" s="3" t="e">
        <f>VLOOKUP(R58,'Assessment Details'!$O$45:$P$48,2,FALSE)</f>
        <v>#N/A</v>
      </c>
      <c r="AF58" s="3" t="e">
        <f>VLOOKUP(Y58,'Assessment Details'!$O$45:$P$48,2,FALSE)</f>
        <v>#N/A</v>
      </c>
      <c r="AI58" s="70"/>
      <c r="AJ58" s="671" t="s">
        <v>115</v>
      </c>
      <c r="AK58" s="70"/>
      <c r="AL58" s="70"/>
      <c r="AM58" s="70"/>
      <c r="AN58" s="70"/>
      <c r="AO58" s="70"/>
      <c r="AP58" s="70"/>
      <c r="AS58" s="23" t="str">
        <f t="shared" si="3"/>
        <v>N/A</v>
      </c>
      <c r="AT58" s="23" t="str">
        <f t="shared" si="1"/>
        <v>N/A</v>
      </c>
      <c r="AU58" s="23" t="str">
        <f t="shared" si="2"/>
        <v>N/A</v>
      </c>
      <c r="AV58" s="23"/>
      <c r="AW58" s="23"/>
      <c r="AX58" s="23"/>
      <c r="AZ58" s="640"/>
    </row>
    <row r="59" spans="1:52" x14ac:dyDescent="0.25">
      <c r="A59" s="1077">
        <v>50</v>
      </c>
      <c r="B59" s="1078" t="s">
        <v>66</v>
      </c>
      <c r="C59" s="1083" t="str">
        <f t="shared" si="7"/>
        <v>Hea 06</v>
      </c>
      <c r="D59" s="824" t="s">
        <v>743</v>
      </c>
      <c r="E59" s="861" t="str">
        <f>VLOOKUP(D59,Poeng!$B$10:$R$252,Poeng!E$1,FALSE)</f>
        <v xml:space="preserve">Inclusive design </v>
      </c>
      <c r="F59" s="122">
        <f>VLOOKUP(D59,Poeng!$B$10:$AB$252,Poeng!AB$1,FALSE)</f>
        <v>1</v>
      </c>
      <c r="G59" s="43"/>
      <c r="H59" s="123">
        <f>VLOOKUP(D59,Poeng!$B$10:$AE$252,Poeng!AE$1,FALSE)</f>
        <v>0</v>
      </c>
      <c r="I59" s="124" t="str">
        <f>VLOOKUP(D59,Poeng!$B$10:$BE$252,Poeng!BE$1,FALSE)</f>
        <v>N/A</v>
      </c>
      <c r="J59" s="80"/>
      <c r="K59" s="281"/>
      <c r="L59" s="796"/>
      <c r="M59" s="816"/>
      <c r="N59" s="83"/>
      <c r="O59" s="123">
        <f>VLOOKUP(D59,Poeng!$B$10:$BC$252,Poeng!AF$1,FALSE)</f>
        <v>0</v>
      </c>
      <c r="P59" s="123" t="str">
        <f>VLOOKUP(D59,Poeng!$B$10:$BH$252,Poeng!BH$1,FALSE)</f>
        <v>N/A</v>
      </c>
      <c r="Q59" s="744"/>
      <c r="R59" s="745"/>
      <c r="S59" s="738"/>
      <c r="T59" s="319"/>
      <c r="U59" s="83"/>
      <c r="V59" s="123">
        <f>VLOOKUP(D59,Poeng!$B$10:$BC$252,Poeng!AG$1,FALSE)</f>
        <v>0</v>
      </c>
      <c r="W59" s="123" t="str">
        <f>VLOOKUP(D59,Poeng!$B$10:$BK$252,Poeng!BK$1,FALSE)</f>
        <v>N/A</v>
      </c>
      <c r="X59" s="81"/>
      <c r="Y59" s="80"/>
      <c r="Z59" s="1096"/>
      <c r="AA59" s="133"/>
      <c r="AB59" s="640"/>
      <c r="AC59" s="107">
        <f t="shared" si="0"/>
        <v>1</v>
      </c>
      <c r="AD59" s="3" t="e">
        <f>VLOOKUP(K59,'Assessment Details'!$O$45:$P$48,2,FALSE)</f>
        <v>#N/A</v>
      </c>
      <c r="AE59" s="3" t="e">
        <f>VLOOKUP(R59,'Assessment Details'!$O$45:$P$48,2,FALSE)</f>
        <v>#N/A</v>
      </c>
      <c r="AF59" s="3" t="e">
        <f>VLOOKUP(Y59,'Assessment Details'!$O$45:$P$48,2,FALSE)</f>
        <v>#N/A</v>
      </c>
      <c r="AI59" s="70"/>
      <c r="AJ59" s="671"/>
      <c r="AK59" s="70"/>
      <c r="AL59" s="70"/>
      <c r="AM59" s="70"/>
      <c r="AN59" s="70"/>
      <c r="AO59" s="70"/>
      <c r="AP59" s="70"/>
      <c r="AS59" s="23"/>
      <c r="AT59" s="23"/>
      <c r="AU59" s="23"/>
      <c r="AV59" s="23"/>
      <c r="AW59" s="23"/>
      <c r="AX59" s="23"/>
      <c r="AZ59" s="640"/>
    </row>
    <row r="60" spans="1:52" x14ac:dyDescent="0.25">
      <c r="A60" s="1077">
        <v>51</v>
      </c>
      <c r="B60" s="1078" t="s">
        <v>66</v>
      </c>
      <c r="C60" s="1083" t="str">
        <f t="shared" si="7"/>
        <v>Hea 06</v>
      </c>
      <c r="D60" s="824" t="s">
        <v>744</v>
      </c>
      <c r="E60" s="861" t="str">
        <f>VLOOKUP(D60,Poeng!$B$10:$R$252,Poeng!E$1,FALSE)</f>
        <v xml:space="preserve">Biofilik design </v>
      </c>
      <c r="F60" s="122">
        <f>VLOOKUP(D60,Poeng!$B$10:$AB$252,Poeng!AB$1,FALSE)</f>
        <v>1</v>
      </c>
      <c r="G60" s="43"/>
      <c r="H60" s="123">
        <f>VLOOKUP(D60,Poeng!$B$10:$AE$252,Poeng!AE$1,FALSE)</f>
        <v>0</v>
      </c>
      <c r="I60" s="124" t="str">
        <f>VLOOKUP(D60,Poeng!$B$10:$BE$252,Poeng!BE$1,FALSE)</f>
        <v>N/A</v>
      </c>
      <c r="J60" s="80"/>
      <c r="K60" s="281"/>
      <c r="L60" s="796"/>
      <c r="M60" s="816"/>
      <c r="N60" s="83"/>
      <c r="O60" s="123">
        <f>VLOOKUP(D60,Poeng!$B$10:$BC$252,Poeng!AF$1,FALSE)</f>
        <v>0</v>
      </c>
      <c r="P60" s="123" t="str">
        <f>VLOOKUP(D60,Poeng!$B$10:$BH$252,Poeng!BH$1,FALSE)</f>
        <v>N/A</v>
      </c>
      <c r="Q60" s="744"/>
      <c r="R60" s="745"/>
      <c r="S60" s="738"/>
      <c r="T60" s="319"/>
      <c r="U60" s="83"/>
      <c r="V60" s="123">
        <f>VLOOKUP(D60,Poeng!$B$10:$BC$252,Poeng!AG$1,FALSE)</f>
        <v>0</v>
      </c>
      <c r="W60" s="123" t="str">
        <f>VLOOKUP(D60,Poeng!$B$10:$BK$252,Poeng!BK$1,FALSE)</f>
        <v>N/A</v>
      </c>
      <c r="X60" s="81"/>
      <c r="Y60" s="80"/>
      <c r="Z60" s="738"/>
      <c r="AA60" s="133"/>
      <c r="AB60" s="640"/>
      <c r="AC60" s="107">
        <f t="shared" si="0"/>
        <v>1</v>
      </c>
      <c r="AD60" s="3" t="e">
        <f>VLOOKUP(K60,'Assessment Details'!$O$45:$P$48,2,FALSE)</f>
        <v>#N/A</v>
      </c>
      <c r="AE60" s="3" t="e">
        <f>VLOOKUP(R60,'Assessment Details'!$O$45:$P$48,2,FALSE)</f>
        <v>#N/A</v>
      </c>
      <c r="AF60" s="3" t="e">
        <f>VLOOKUP(Y60,'Assessment Details'!$O$45:$P$48,2,FALSE)</f>
        <v>#N/A</v>
      </c>
      <c r="AI60" s="70"/>
      <c r="AJ60" s="671"/>
      <c r="AK60" s="70"/>
      <c r="AL60" s="70"/>
      <c r="AM60" s="70"/>
      <c r="AN60" s="70"/>
      <c r="AO60" s="70"/>
      <c r="AP60" s="70"/>
      <c r="AS60" s="23"/>
      <c r="AT60" s="23"/>
      <c r="AU60" s="23"/>
      <c r="AV60" s="23"/>
      <c r="AW60" s="23"/>
      <c r="AX60" s="23"/>
      <c r="AZ60" s="640"/>
    </row>
    <row r="61" spans="1:52" x14ac:dyDescent="0.25">
      <c r="A61" s="1077">
        <v>52</v>
      </c>
      <c r="B61" s="1078" t="s">
        <v>66</v>
      </c>
      <c r="C61" s="924" t="s">
        <v>125</v>
      </c>
      <c r="D61" s="824" t="s">
        <v>125</v>
      </c>
      <c r="E61" s="860" t="str">
        <f>VLOOKUP(D61,Poeng!$B$10:$R$252,Poeng!E$1,FALSE)</f>
        <v>Hea 08 Private space</v>
      </c>
      <c r="F61" s="865">
        <f>VLOOKUP(D61,Poeng!$B$10:$AB$252,Poeng!AB$1,FALSE)</f>
        <v>0</v>
      </c>
      <c r="G61" s="1001"/>
      <c r="H61" s="866" t="str">
        <f>VLOOKUP(D61,Poeng!$B$10:$AI$252,Poeng!AI$1,FALSE)&amp;" c. "&amp;ROUND(VLOOKUP(D61,Poeng!$B$10:$AE$252,Poeng!AE$1,FALSE)*100,1)&amp;" %"</f>
        <v>0 c. 0 %</v>
      </c>
      <c r="I61" s="924" t="str">
        <f>VLOOKUP(D61,Poeng!$B$10:$BE$252,Poeng!BE$1,FALSE)</f>
        <v>N/A</v>
      </c>
      <c r="J61" s="80"/>
      <c r="K61" s="281"/>
      <c r="L61" s="796"/>
      <c r="M61" s="816"/>
      <c r="N61" s="1001"/>
      <c r="O61" s="877" t="str">
        <f>VLOOKUP(D61,Poeng!$B$10:$BC$252,Poeng!AJ$1,FALSE)&amp;" c. "&amp;ROUND(VLOOKUP(D61,Poeng!$B$10:$BC$252,Poeng!AF$1,FALSE)*100,1)&amp;" %"</f>
        <v>0 c. 0 %</v>
      </c>
      <c r="P61" s="123" t="str">
        <f>VLOOKUP(D61,Poeng!$B$10:$BH$252,Poeng!BH$1,FALSE)</f>
        <v>N/A</v>
      </c>
      <c r="Q61" s="744"/>
      <c r="R61" s="745"/>
      <c r="S61" s="738"/>
      <c r="T61" s="319"/>
      <c r="U61" s="1001"/>
      <c r="V61" s="877" t="str">
        <f>VLOOKUP(D61,Poeng!$B$10:$BC$252,Poeng!AK$1,FALSE)&amp;" c. "&amp;ROUND(VLOOKUP(D61,Poeng!$B$10:$BC$252,Poeng!AG$1,FALSE)*100,1)&amp;" %"</f>
        <v>0 c. 0 %</v>
      </c>
      <c r="W61" s="123" t="str">
        <f>VLOOKUP(D61,Poeng!$B$10:$BK$252,Poeng!BK$1,FALSE)</f>
        <v>N/A</v>
      </c>
      <c r="X61" s="81"/>
      <c r="Y61" s="80"/>
      <c r="Z61" s="738"/>
      <c r="AA61" s="133"/>
      <c r="AB61" s="640" t="s">
        <v>14</v>
      </c>
      <c r="AC61" s="107">
        <f t="shared" si="0"/>
        <v>2</v>
      </c>
      <c r="AD61" s="3" t="e">
        <f>VLOOKUP(K61,'Assessment Details'!$O$45:$P$48,2,FALSE)</f>
        <v>#N/A</v>
      </c>
      <c r="AE61" s="3" t="e">
        <f>VLOOKUP(R61,'Assessment Details'!$O$45:$P$48,2,FALSE)</f>
        <v>#N/A</v>
      </c>
      <c r="AF61" s="3" t="e">
        <f>VLOOKUP(Y61,'Assessment Details'!$O$45:$P$48,2,FALSE)</f>
        <v>#N/A</v>
      </c>
      <c r="AI61" s="70"/>
      <c r="AJ61" s="671" t="s">
        <v>117</v>
      </c>
      <c r="AK61" s="70"/>
      <c r="AL61" s="70"/>
      <c r="AM61" s="70"/>
      <c r="AN61" s="70"/>
      <c r="AO61" s="70"/>
      <c r="AP61" s="70"/>
      <c r="AS61" s="23" t="str">
        <f t="shared" si="3"/>
        <v>N/A</v>
      </c>
      <c r="AT61" s="23" t="str">
        <f t="shared" si="1"/>
        <v>N/A</v>
      </c>
      <c r="AU61" s="23" t="str">
        <f t="shared" si="2"/>
        <v>N/A</v>
      </c>
      <c r="AV61" s="23"/>
      <c r="AW61" s="23"/>
      <c r="AX61" s="23"/>
      <c r="AZ61" s="640"/>
    </row>
    <row r="62" spans="1:52" x14ac:dyDescent="0.25">
      <c r="A62" s="1077">
        <v>53</v>
      </c>
      <c r="B62" s="1078" t="s">
        <v>66</v>
      </c>
      <c r="C62" s="1083" t="str">
        <f t="shared" si="7"/>
        <v>Hea 08</v>
      </c>
      <c r="D62" s="824" t="s">
        <v>745</v>
      </c>
      <c r="E62" s="861" t="str">
        <f>VLOOKUP(D62,Poeng!$B$10:$R$252,Poeng!E$1,FALSE)</f>
        <v xml:space="preserve">Private outdoor spaces </v>
      </c>
      <c r="F62" s="122">
        <f>VLOOKUP(D62,Poeng!$B$10:$AB$252,Poeng!AB$1,FALSE)</f>
        <v>0</v>
      </c>
      <c r="G62" s="43"/>
      <c r="H62" s="123">
        <f>VLOOKUP(D62,Poeng!$B$10:$AE$252,Poeng!AE$1,FALSE)</f>
        <v>0</v>
      </c>
      <c r="I62" s="124" t="str">
        <f>VLOOKUP(D62,Poeng!$B$10:$BE$252,Poeng!BE$1,FALSE)</f>
        <v>N/A</v>
      </c>
      <c r="J62" s="80"/>
      <c r="K62" s="281"/>
      <c r="L62" s="796"/>
      <c r="M62" s="816"/>
      <c r="N62" s="83"/>
      <c r="O62" s="123">
        <f>VLOOKUP(D62,Poeng!$B$10:$BC$252,Poeng!AF$1,FALSE)</f>
        <v>0</v>
      </c>
      <c r="P62" s="123" t="str">
        <f>VLOOKUP(D62,Poeng!$B$10:$BH$252,Poeng!BH$1,FALSE)</f>
        <v>N/A</v>
      </c>
      <c r="Q62" s="744"/>
      <c r="R62" s="745"/>
      <c r="S62" s="1096"/>
      <c r="T62" s="319"/>
      <c r="U62" s="83"/>
      <c r="V62" s="123">
        <f>VLOOKUP(D62,Poeng!$B$10:$BC$252,Poeng!AG$1,FALSE)</f>
        <v>0</v>
      </c>
      <c r="W62" s="123" t="str">
        <f>VLOOKUP(D62,Poeng!$B$10:$BK$252,Poeng!BK$1,FALSE)</f>
        <v>N/A</v>
      </c>
      <c r="X62" s="81"/>
      <c r="Y62" s="80"/>
      <c r="Z62" s="1096"/>
      <c r="AA62" s="133"/>
      <c r="AB62" s="714"/>
      <c r="AC62" s="107">
        <f t="shared" si="0"/>
        <v>2</v>
      </c>
      <c r="AD62" s="3" t="e">
        <f>VLOOKUP(K62,'Assessment Details'!$O$45:$P$48,2,FALSE)</f>
        <v>#N/A</v>
      </c>
      <c r="AE62" s="3" t="e">
        <f>VLOOKUP(R62,'Assessment Details'!$O$45:$P$48,2,FALSE)</f>
        <v>#N/A</v>
      </c>
      <c r="AF62" s="3" t="e">
        <f>VLOOKUP(Y62,'Assessment Details'!$O$45:$P$48,2,FALSE)</f>
        <v>#N/A</v>
      </c>
      <c r="AI62" s="70"/>
      <c r="AJ62" s="671"/>
      <c r="AK62" s="70"/>
      <c r="AL62" s="70"/>
      <c r="AM62" s="70"/>
      <c r="AN62" s="70"/>
      <c r="AO62" s="70"/>
      <c r="AP62" s="70"/>
      <c r="AS62" s="23"/>
      <c r="AT62" s="23"/>
      <c r="AU62" s="23"/>
      <c r="AV62" s="23"/>
      <c r="AW62" s="23"/>
      <c r="AX62" s="23"/>
      <c r="AZ62" s="714"/>
    </row>
    <row r="63" spans="1:52" ht="15.75" thickBot="1" x14ac:dyDescent="0.3">
      <c r="A63" s="1077">
        <v>54</v>
      </c>
      <c r="B63" s="1078" t="s">
        <v>66</v>
      </c>
      <c r="C63" s="1084"/>
      <c r="D63" s="824" t="s">
        <v>884</v>
      </c>
      <c r="E63" s="320" t="s">
        <v>105</v>
      </c>
      <c r="F63" s="125">
        <f>Hea_Credits</f>
        <v>19</v>
      </c>
      <c r="G63" s="131"/>
      <c r="H63" s="126">
        <f>Hea_cont_tot</f>
        <v>0</v>
      </c>
      <c r="I63" s="867" t="str">
        <f>"Credits achieved: "&amp;HW_tot_user</f>
        <v>Credits achieved: 0</v>
      </c>
      <c r="J63" s="134"/>
      <c r="K63" s="282"/>
      <c r="L63" s="746"/>
      <c r="M63" s="816"/>
      <c r="N63" s="383"/>
      <c r="O63" s="126">
        <f>VLOOKUP(D63,Poeng!$B$10:$BC$252,Poeng!AF$1,FALSE)</f>
        <v>0</v>
      </c>
      <c r="P63" s="867" t="str">
        <f>"Credits achieved: "&amp;HW_d_user</f>
        <v>Credits achieved: 0</v>
      </c>
      <c r="Q63" s="747"/>
      <c r="R63" s="748"/>
      <c r="S63" s="746"/>
      <c r="T63" s="319"/>
      <c r="U63" s="383"/>
      <c r="V63" s="126">
        <f>VLOOKUP(D63,Poeng!$B$10:$BC$252,Poeng!AG$1,FALSE)</f>
        <v>0</v>
      </c>
      <c r="W63" s="867" t="str">
        <f>"Credits achieved: "&amp;HW_c_user</f>
        <v>Credits achieved: 0</v>
      </c>
      <c r="X63" s="382"/>
      <c r="Y63" s="136"/>
      <c r="Z63" s="746"/>
      <c r="AA63" s="133"/>
      <c r="AB63" s="641"/>
      <c r="AC63" s="107">
        <f t="shared" si="0"/>
        <v>1</v>
      </c>
      <c r="AD63" s="276">
        <v>0</v>
      </c>
      <c r="AE63" s="276">
        <v>0</v>
      </c>
      <c r="AF63" s="276">
        <v>0</v>
      </c>
      <c r="AI63" s="70"/>
      <c r="AJ63" s="671" t="s">
        <v>105</v>
      </c>
      <c r="AK63" s="70"/>
      <c r="AL63" s="70"/>
      <c r="AM63" s="70"/>
      <c r="AN63" s="70"/>
      <c r="AO63" s="70"/>
      <c r="AP63" s="70"/>
      <c r="AS63" s="23" t="str">
        <f t="shared" si="3"/>
        <v>N/A</v>
      </c>
      <c r="AT63" s="23" t="str">
        <f t="shared" si="1"/>
        <v>N/A</v>
      </c>
      <c r="AU63" s="23" t="str">
        <f t="shared" si="2"/>
        <v>N/A</v>
      </c>
      <c r="AV63" s="23"/>
      <c r="AW63" s="23"/>
      <c r="AX63" s="23"/>
      <c r="AZ63" s="641"/>
    </row>
    <row r="64" spans="1:52" x14ac:dyDescent="0.25">
      <c r="A64" s="1077">
        <v>55</v>
      </c>
      <c r="B64" s="1078" t="s">
        <v>66</v>
      </c>
      <c r="C64" s="1086"/>
      <c r="D64" s="824"/>
      <c r="E64" s="334"/>
      <c r="F64" s="322"/>
      <c r="G64" s="323"/>
      <c r="H64" s="322"/>
      <c r="I64" s="322"/>
      <c r="J64" s="324"/>
      <c r="K64" s="323"/>
      <c r="L64" s="749"/>
      <c r="M64" s="815"/>
      <c r="N64" s="325"/>
      <c r="O64" s="325"/>
      <c r="P64" s="749"/>
      <c r="Q64" s="749"/>
      <c r="R64" s="750"/>
      <c r="S64" s="1095"/>
      <c r="T64" s="326"/>
      <c r="U64" s="325"/>
      <c r="V64" s="325"/>
      <c r="W64" s="749"/>
      <c r="X64" s="324"/>
      <c r="Y64" s="325"/>
      <c r="Z64" s="1095"/>
      <c r="AA64" s="699"/>
      <c r="AB64" s="324"/>
      <c r="AC64" s="107">
        <f t="shared" si="0"/>
        <v>1</v>
      </c>
      <c r="AD64" s="278">
        <v>0</v>
      </c>
      <c r="AE64" s="278">
        <v>0</v>
      </c>
      <c r="AF64" s="278">
        <v>0</v>
      </c>
      <c r="AI64" s="70"/>
      <c r="AJ64" s="671"/>
      <c r="AK64" s="70"/>
      <c r="AL64" s="70"/>
      <c r="AM64" s="70"/>
      <c r="AN64" s="70"/>
      <c r="AO64" s="70"/>
      <c r="AP64" s="70"/>
      <c r="AS64" s="23" t="str">
        <f t="shared" si="3"/>
        <v>N/A</v>
      </c>
      <c r="AT64" s="23" t="str">
        <f t="shared" si="1"/>
        <v>N/A</v>
      </c>
      <c r="AU64" s="23" t="str">
        <f t="shared" si="2"/>
        <v>N/A</v>
      </c>
      <c r="AV64" s="23"/>
      <c r="AW64" s="23"/>
      <c r="AX64" s="23"/>
      <c r="AZ64" s="324"/>
    </row>
    <row r="65" spans="1:52" ht="18.75" x14ac:dyDescent="0.25">
      <c r="A65" s="1077">
        <v>56</v>
      </c>
      <c r="B65" s="1078" t="s">
        <v>67</v>
      </c>
      <c r="C65" s="1087"/>
      <c r="D65" s="824"/>
      <c r="E65" s="335" t="s">
        <v>45</v>
      </c>
      <c r="F65" s="315"/>
      <c r="G65" s="316"/>
      <c r="H65" s="336"/>
      <c r="I65" s="315"/>
      <c r="J65" s="328"/>
      <c r="K65" s="329"/>
      <c r="L65" s="752"/>
      <c r="M65" s="815"/>
      <c r="N65" s="339"/>
      <c r="O65" s="332"/>
      <c r="P65" s="742"/>
      <c r="Q65" s="753"/>
      <c r="R65" s="754"/>
      <c r="S65" s="755"/>
      <c r="T65" s="319"/>
      <c r="U65" s="339"/>
      <c r="V65" s="338"/>
      <c r="W65" s="742"/>
      <c r="X65" s="328"/>
      <c r="Y65" s="338"/>
      <c r="Z65" s="752"/>
      <c r="AA65" s="133"/>
      <c r="AB65" s="337"/>
      <c r="AC65" s="107">
        <f t="shared" si="0"/>
        <v>1</v>
      </c>
      <c r="AD65" s="275">
        <v>0</v>
      </c>
      <c r="AE65" s="275">
        <v>0</v>
      </c>
      <c r="AF65" s="275">
        <v>0</v>
      </c>
      <c r="AI65" s="70"/>
      <c r="AJ65" s="671" t="s">
        <v>45</v>
      </c>
      <c r="AK65" s="70"/>
      <c r="AL65" s="70"/>
      <c r="AM65" s="70"/>
      <c r="AN65" s="70"/>
      <c r="AO65" s="70"/>
      <c r="AP65" s="70"/>
      <c r="AS65" s="23" t="str">
        <f t="shared" si="3"/>
        <v>N/A</v>
      </c>
      <c r="AT65" s="23" t="str">
        <f t="shared" si="1"/>
        <v>N/A</v>
      </c>
      <c r="AU65" s="23" t="str">
        <f t="shared" si="2"/>
        <v>N/A</v>
      </c>
      <c r="AV65" s="23"/>
      <c r="AW65" s="23"/>
      <c r="AX65" s="23"/>
      <c r="AZ65" s="337"/>
    </row>
    <row r="66" spans="1:52" x14ac:dyDescent="0.25">
      <c r="A66" s="1077">
        <v>57</v>
      </c>
      <c r="B66" s="1078" t="s">
        <v>67</v>
      </c>
      <c r="C66" s="924" t="s">
        <v>136</v>
      </c>
      <c r="D66" s="824" t="s">
        <v>136</v>
      </c>
      <c r="E66" s="860" t="str">
        <f>VLOOKUP(D66,Poeng!$B$10:$R$252,Poeng!E$1,FALSE)</f>
        <v>Ene 01 Energy efficiency</v>
      </c>
      <c r="F66" s="865">
        <f>VLOOKUP(D66,Poeng!$B$10:$AB$252,Poeng!AB$1,FALSE)</f>
        <v>12</v>
      </c>
      <c r="G66" s="1000"/>
      <c r="H66" s="866" t="str">
        <f>VLOOKUP(D66,Poeng!$B$10:$AI$252,Poeng!AI$1,FALSE)&amp;" c. "&amp;ROUND(VLOOKUP(D66,Poeng!$B$10:$AE$252,Poeng!AE$1,FALSE)*100,1)&amp;" %"</f>
        <v>0 c. 0 %</v>
      </c>
      <c r="I66" s="923" t="str">
        <f>VLOOKUP(D66,Poeng!$B$10:$BE$252,Poeng!BE$1,FALSE)</f>
        <v>N/A</v>
      </c>
      <c r="J66" s="874"/>
      <c r="K66" s="875"/>
      <c r="L66" s="876"/>
      <c r="M66" s="815"/>
      <c r="N66" s="1001"/>
      <c r="O66" s="1094" t="str">
        <f>VLOOKUP(D66,Poeng!$B$10:$BC$252,Poeng!AJ$1,FALSE)&amp;" c. "&amp;ROUND(VLOOKUP(D66,Poeng!$B$10:$BC$252,Poeng!AF$1,FALSE)*100,1)&amp;" %"</f>
        <v>0 c. 0 %</v>
      </c>
      <c r="P66" s="123" t="str">
        <f>VLOOKUP(D66,Poeng!$B$10:$BH$252,Poeng!BH$1,FALSE)</f>
        <v>N/A</v>
      </c>
      <c r="Q66" s="744"/>
      <c r="R66" s="745"/>
      <c r="S66" s="738"/>
      <c r="T66" s="319"/>
      <c r="U66" s="1001"/>
      <c r="V66" s="877" t="str">
        <f>VLOOKUP(D66,Poeng!$B$10:$BC$252,Poeng!AK$1,FALSE)&amp;" c. "&amp;ROUND(VLOOKUP(D66,Poeng!$B$10:$BC$252,Poeng!AG$1,FALSE)*100,1)&amp;" %"</f>
        <v>0 c. 0 %</v>
      </c>
      <c r="W66" s="123" t="str">
        <f>VLOOKUP(D66,Poeng!$B$10:$BK$252,Poeng!BK$1,FALSE)</f>
        <v>N/A</v>
      </c>
      <c r="X66" s="81"/>
      <c r="Y66" s="80"/>
      <c r="Z66" s="738"/>
      <c r="AA66" s="133"/>
      <c r="AB66" s="640" t="s">
        <v>13</v>
      </c>
      <c r="AC66" s="107">
        <f t="shared" si="0"/>
        <v>1</v>
      </c>
      <c r="AD66" s="3" t="e">
        <f>VLOOKUP(K66,'Assessment Details'!$O$45:$P$48,2,FALSE)</f>
        <v>#N/A</v>
      </c>
      <c r="AE66" s="3" t="e">
        <f>VLOOKUP(R66,'Assessment Details'!$O$45:$P$48,2,FALSE)</f>
        <v>#N/A</v>
      </c>
      <c r="AF66" s="3" t="e">
        <f>VLOOKUP(Y66,'Assessment Details'!$O$45:$P$48,2,FALSE)</f>
        <v>#N/A</v>
      </c>
      <c r="AI66" s="70"/>
      <c r="AJ66" s="671" t="s">
        <v>129</v>
      </c>
      <c r="AK66" s="648" t="s">
        <v>407</v>
      </c>
      <c r="AL66" s="648" t="s">
        <v>409</v>
      </c>
      <c r="AM66" s="70"/>
      <c r="AN66" s="70"/>
      <c r="AO66" s="70"/>
      <c r="AP66" s="70"/>
      <c r="AR66" s="1" t="s">
        <v>13</v>
      </c>
      <c r="AS66" s="23" t="str">
        <f t="shared" si="3"/>
        <v>N/A</v>
      </c>
      <c r="AT66" s="23" t="str">
        <f t="shared" si="1"/>
        <v>N/A</v>
      </c>
      <c r="AU66" s="23" t="str">
        <f t="shared" si="2"/>
        <v>N/A</v>
      </c>
      <c r="AV66" s="23"/>
      <c r="AW66" s="23"/>
      <c r="AX66" s="23"/>
      <c r="AZ66" s="640"/>
    </row>
    <row r="67" spans="1:52" x14ac:dyDescent="0.25">
      <c r="A67" s="1077">
        <v>58</v>
      </c>
      <c r="B67" s="1078" t="s">
        <v>67</v>
      </c>
      <c r="C67" s="1083" t="str">
        <f t="shared" si="7"/>
        <v>Ene 01</v>
      </c>
      <c r="D67" s="19" t="s">
        <v>746</v>
      </c>
      <c r="E67" s="861" t="str">
        <f>VLOOKUP(D67,Poeng!$B$10:$R$252,Poeng!E$1,FALSE)</f>
        <v xml:space="preserve">Passive design </v>
      </c>
      <c r="F67" s="122">
        <f>VLOOKUP(D67,Poeng!$B$10:$AB$252,Poeng!AB$1,FALSE)</f>
        <v>2</v>
      </c>
      <c r="G67" s="43"/>
      <c r="H67" s="123">
        <f>VLOOKUP(D67,Poeng!$B$10:$AE$252,Poeng!AE$1,FALSE)</f>
        <v>0</v>
      </c>
      <c r="I67" s="124" t="str">
        <f>VLOOKUP(D67,Poeng!$B$10:$BE$252,Poeng!BE$1,FALSE)</f>
        <v>N/A</v>
      </c>
      <c r="J67" s="80"/>
      <c r="K67" s="281"/>
      <c r="L67" s="738"/>
      <c r="M67" s="816"/>
      <c r="N67" s="83"/>
      <c r="O67" s="123">
        <f>VLOOKUP(D67,Poeng!$B$10:$BC$252,Poeng!AF$1,FALSE)</f>
        <v>0</v>
      </c>
      <c r="P67" s="123" t="str">
        <f>VLOOKUP(D67,Poeng!$B$10:$BH$252,Poeng!BH$1,FALSE)</f>
        <v>N/A</v>
      </c>
      <c r="Q67" s="744"/>
      <c r="R67" s="745"/>
      <c r="S67" s="738"/>
      <c r="T67" s="319"/>
      <c r="U67" s="83"/>
      <c r="V67" s="123">
        <f>VLOOKUP(D67,Poeng!$B$10:$BC$252,Poeng!AG$1,FALSE)</f>
        <v>0</v>
      </c>
      <c r="W67" s="123" t="str">
        <f>VLOOKUP(D67,Poeng!$B$10:$BK$252,Poeng!BK$1,FALSE)</f>
        <v>N/A</v>
      </c>
      <c r="X67" s="81"/>
      <c r="Y67" s="80"/>
      <c r="Z67" s="738"/>
      <c r="AC67" s="107">
        <f t="shared" si="0"/>
        <v>1</v>
      </c>
      <c r="AD67" s="3" t="e">
        <f>VLOOKUP(K67,'Assessment Details'!$O$45:$P$48,2,FALSE)</f>
        <v>#N/A</v>
      </c>
      <c r="AE67" s="3" t="e">
        <f>VLOOKUP(R67,'Assessment Details'!$O$45:$P$48,2,FALSE)</f>
        <v>#N/A</v>
      </c>
      <c r="AF67" s="3" t="e">
        <f>VLOOKUP(Y67,'Assessment Details'!$O$45:$P$48,2,FALSE)</f>
        <v>#N/A</v>
      </c>
    </row>
    <row r="68" spans="1:52" x14ac:dyDescent="0.25">
      <c r="A68" s="1077">
        <v>59</v>
      </c>
      <c r="B68" s="1078" t="s">
        <v>67</v>
      </c>
      <c r="C68" s="1083" t="str">
        <f t="shared" si="7"/>
        <v>Ene 01</v>
      </c>
      <c r="D68" s="19" t="s">
        <v>747</v>
      </c>
      <c r="E68" s="861" t="str">
        <f>VLOOKUP(D68,Poeng!$B$10:$R$252,Poeng!E$1,FALSE)</f>
        <v xml:space="preserve">Low and zero carbon technologies </v>
      </c>
      <c r="F68" s="122">
        <f>VLOOKUP(D68,Poeng!$B$10:$AB$252,Poeng!AB$1,FALSE)</f>
        <v>1</v>
      </c>
      <c r="G68" s="43"/>
      <c r="H68" s="123">
        <f>VLOOKUP(D68,Poeng!$B$10:$AE$252,Poeng!AE$1,FALSE)</f>
        <v>0</v>
      </c>
      <c r="I68" s="124" t="str">
        <f>VLOOKUP(D68,Poeng!$B$10:$BE$252,Poeng!BE$1,FALSE)</f>
        <v>N/A</v>
      </c>
      <c r="J68" s="80"/>
      <c r="K68" s="281"/>
      <c r="L68" s="796"/>
      <c r="M68" s="816"/>
      <c r="N68" s="83"/>
      <c r="O68" s="123">
        <f>VLOOKUP(D68,Poeng!$B$10:$BC$252,Poeng!AF$1,FALSE)</f>
        <v>0</v>
      </c>
      <c r="P68" s="123" t="str">
        <f>VLOOKUP(D68,Poeng!$B$10:$BH$252,Poeng!BH$1,FALSE)</f>
        <v>N/A</v>
      </c>
      <c r="Q68" s="744"/>
      <c r="R68" s="745"/>
      <c r="S68" s="738"/>
      <c r="T68" s="319"/>
      <c r="U68" s="83"/>
      <c r="V68" s="123">
        <f>VLOOKUP(D68,Poeng!$B$10:$BC$252,Poeng!AG$1,FALSE)</f>
        <v>0</v>
      </c>
      <c r="W68" s="123" t="str">
        <f>VLOOKUP(D68,Poeng!$B$10:$BK$252,Poeng!BK$1,FALSE)</f>
        <v>N/A</v>
      </c>
      <c r="X68" s="81"/>
      <c r="Y68" s="80"/>
      <c r="Z68" s="738"/>
      <c r="AC68" s="107">
        <f t="shared" si="0"/>
        <v>1</v>
      </c>
      <c r="AD68" s="3" t="e">
        <f>VLOOKUP(K68,'Assessment Details'!$O$45:$P$48,2,FALSE)</f>
        <v>#N/A</v>
      </c>
      <c r="AE68" s="3" t="e">
        <f>VLOOKUP(R68,'Assessment Details'!$O$45:$P$48,2,FALSE)</f>
        <v>#N/A</v>
      </c>
      <c r="AF68" s="3" t="e">
        <f>VLOOKUP(Y68,'Assessment Details'!$O$45:$P$48,2,FALSE)</f>
        <v>#N/A</v>
      </c>
    </row>
    <row r="69" spans="1:52" x14ac:dyDescent="0.25">
      <c r="A69" s="1077">
        <v>60</v>
      </c>
      <c r="B69" s="1078" t="s">
        <v>67</v>
      </c>
      <c r="C69" s="1083" t="str">
        <f>C68</f>
        <v>Ene 01</v>
      </c>
      <c r="D69" s="19" t="s">
        <v>748</v>
      </c>
      <c r="E69" s="861" t="str">
        <f>VLOOKUP(D69,Poeng!$B$10:$R$252,Poeng!E$1,FALSE)</f>
        <v xml:space="preserve">Energy performance </v>
      </c>
      <c r="F69" s="122">
        <f>VLOOKUP(D69,Poeng!$B$10:$AB$252,Poeng!AB$1,FALSE)</f>
        <v>4</v>
      </c>
      <c r="G69" s="43"/>
      <c r="H69" s="123">
        <f>VLOOKUP(D69,Poeng!$B$10:$AE$252,Poeng!AE$1,FALSE)</f>
        <v>0</v>
      </c>
      <c r="I69" s="124" t="str">
        <f>VLOOKUP(D69,Poeng!$B$10:$BE$252,Poeng!BE$1,FALSE)</f>
        <v>Very Good</v>
      </c>
      <c r="J69" s="80"/>
      <c r="K69" s="281"/>
      <c r="L69" s="796"/>
      <c r="M69" s="816"/>
      <c r="N69" s="83"/>
      <c r="O69" s="123">
        <f>VLOOKUP(D69,Poeng!$B$10:$BC$252,Poeng!AF$1,FALSE)</f>
        <v>0</v>
      </c>
      <c r="P69" s="123" t="str">
        <f>VLOOKUP(D69,Poeng!$B$10:$BH$252,Poeng!BH$1,FALSE)</f>
        <v>Very Good</v>
      </c>
      <c r="Q69" s="744"/>
      <c r="R69" s="745"/>
      <c r="S69" s="738"/>
      <c r="T69" s="319"/>
      <c r="U69" s="83"/>
      <c r="V69" s="123">
        <f>VLOOKUP(D69,Poeng!$B$10:$BC$252,Poeng!AG$1,FALSE)</f>
        <v>0</v>
      </c>
      <c r="W69" s="123" t="str">
        <f>VLOOKUP(D69,Poeng!$B$10:$BK$252,Poeng!BK$1,FALSE)</f>
        <v>Very Good</v>
      </c>
      <c r="X69" s="81"/>
      <c r="Y69" s="80"/>
      <c r="Z69" s="738"/>
      <c r="AC69" s="107">
        <f t="shared" si="0"/>
        <v>1</v>
      </c>
      <c r="AD69" s="3" t="e">
        <f>VLOOKUP(K69,'Assessment Details'!$O$45:$P$48,2,FALSE)</f>
        <v>#N/A</v>
      </c>
      <c r="AE69" s="3" t="e">
        <f>VLOOKUP(R69,'Assessment Details'!$O$45:$P$48,2,FALSE)</f>
        <v>#N/A</v>
      </c>
      <c r="AF69" s="3" t="e">
        <f>VLOOKUP(Y69,'Assessment Details'!$O$45:$P$48,2,FALSE)</f>
        <v>#N/A</v>
      </c>
    </row>
    <row r="70" spans="1:52" x14ac:dyDescent="0.25">
      <c r="A70" s="1077">
        <v>61</v>
      </c>
      <c r="B70" s="1078" t="s">
        <v>67</v>
      </c>
      <c r="C70" s="1083" t="str">
        <f>C68</f>
        <v>Ene 01</v>
      </c>
      <c r="D70" s="19" t="s">
        <v>1032</v>
      </c>
      <c r="E70" s="1257" t="str">
        <f>VLOOKUP(D70,Poeng!$B$10:$R$257,Poeng!E$1,FALSE)</f>
        <v>EU taxonomy requirements: criterion 10 - thermographic survey</v>
      </c>
      <c r="F70" s="122" t="str">
        <f>VLOOKUP(D70,Poeng!$B$10:$AB$257,Poeng!AB$1,FALSE)</f>
        <v>Yes/No</v>
      </c>
      <c r="G70" s="43"/>
      <c r="H70" s="123" t="str">
        <f>VLOOKUP(D70,Poeng!$B$10:$AE$257,Poeng!AE$1,FALSE)</f>
        <v>-</v>
      </c>
      <c r="I70" s="124" t="str">
        <f>VLOOKUP(D70,Poeng!$B$10:$BE$257,Poeng!BE$1,FALSE)</f>
        <v>N/A</v>
      </c>
      <c r="J70" s="80"/>
      <c r="K70" s="281"/>
      <c r="L70" s="796"/>
      <c r="M70" s="816"/>
      <c r="N70" s="83"/>
      <c r="O70" s="123" t="str">
        <f>VLOOKUP(D70,Poeng!$B$10:$BC$257,Poeng!AF$1,FALSE)</f>
        <v>-</v>
      </c>
      <c r="P70" s="123" t="str">
        <f>VLOOKUP(D70,Poeng!$B$10:$BH$257,Poeng!BH$1,FALSE)</f>
        <v>N/A</v>
      </c>
      <c r="Q70" s="744"/>
      <c r="R70" s="745"/>
      <c r="S70" s="738"/>
      <c r="T70" s="319"/>
      <c r="U70" s="83"/>
      <c r="V70" s="123" t="str">
        <f>VLOOKUP(D70,Poeng!$B$10:$BC$257,Poeng!AG$1,FALSE)</f>
        <v>-</v>
      </c>
      <c r="W70" s="123" t="str">
        <f>VLOOKUP(D70,Poeng!$B$10:$BK$257,Poeng!BK$1,FALSE)</f>
        <v>N/A</v>
      </c>
      <c r="X70" s="81"/>
      <c r="Y70" s="80"/>
      <c r="Z70" s="738"/>
      <c r="AC70" s="107">
        <f t="shared" ref="AC70" si="10">IF(F70="",1,IF(F70=0,2,1))</f>
        <v>1</v>
      </c>
      <c r="AD70" s="3" t="e">
        <f>VLOOKUP(K70,'Assessment Details'!$O$45:$P$48,2,FALSE)</f>
        <v>#N/A</v>
      </c>
      <c r="AE70" s="3" t="e">
        <f>VLOOKUP(R70,'Assessment Details'!$O$45:$P$48,2,FALSE)</f>
        <v>#N/A</v>
      </c>
      <c r="AF70" s="3" t="e">
        <f>VLOOKUP(Y70,'Assessment Details'!$O$45:$P$48,2,FALSE)</f>
        <v>#N/A</v>
      </c>
    </row>
    <row r="71" spans="1:52" x14ac:dyDescent="0.25">
      <c r="A71" s="1077">
        <v>62</v>
      </c>
      <c r="B71" s="1078" t="s">
        <v>67</v>
      </c>
      <c r="C71" s="1083" t="str">
        <f>C69</f>
        <v>Ene 01</v>
      </c>
      <c r="D71" s="19" t="s">
        <v>749</v>
      </c>
      <c r="E71" s="861" t="str">
        <f>VLOOKUP(D71,Poeng!$B$10:$R$252,Poeng!E$1,FALSE)</f>
        <v>Adaptation to EU taxonomy (criterion 12)</v>
      </c>
      <c r="F71" s="122">
        <f>VLOOKUP(D71,Poeng!$B$10:$AB$252,Poeng!AB$1,FALSE)</f>
        <v>1</v>
      </c>
      <c r="G71" s="43"/>
      <c r="H71" s="123">
        <f>VLOOKUP(D71,Poeng!$B$10:$AE$252,Poeng!AE$1,FALSE)</f>
        <v>0</v>
      </c>
      <c r="I71" s="124" t="str">
        <f>VLOOKUP(D71,Poeng!$B$10:$BE$252,Poeng!BE$1,FALSE)</f>
        <v>Very Good</v>
      </c>
      <c r="J71" s="80"/>
      <c r="K71" s="281"/>
      <c r="L71" s="796"/>
      <c r="M71" s="816"/>
      <c r="N71" s="83"/>
      <c r="O71" s="123">
        <f>VLOOKUP(D71,Poeng!$B$10:$BC$252,Poeng!AF$1,FALSE)</f>
        <v>0</v>
      </c>
      <c r="P71" s="123" t="str">
        <f>VLOOKUP(D71,Poeng!$B$10:$BH$252,Poeng!BH$1,FALSE)</f>
        <v>Very Good</v>
      </c>
      <c r="Q71" s="744"/>
      <c r="R71" s="745"/>
      <c r="S71" s="738"/>
      <c r="T71" s="319"/>
      <c r="U71" s="83"/>
      <c r="V71" s="123">
        <f>VLOOKUP(D71,Poeng!$B$10:$BC$252,Poeng!AG$1,FALSE)</f>
        <v>0</v>
      </c>
      <c r="W71" s="123" t="str">
        <f>VLOOKUP(D71,Poeng!$B$10:$BK$252,Poeng!BK$1,FALSE)</f>
        <v>Very Good</v>
      </c>
      <c r="X71" s="81"/>
      <c r="Y71" s="80"/>
      <c r="Z71" s="738"/>
      <c r="AC71" s="107">
        <f t="shared" si="0"/>
        <v>1</v>
      </c>
      <c r="AD71" s="3" t="e">
        <f>VLOOKUP(K71,'Assessment Details'!$O$45:$P$48,2,FALSE)</f>
        <v>#N/A</v>
      </c>
      <c r="AE71" s="3" t="e">
        <f>VLOOKUP(R71,'Assessment Details'!$O$45:$P$48,2,FALSE)</f>
        <v>#N/A</v>
      </c>
      <c r="AF71" s="3" t="e">
        <f>VLOOKUP(Y71,'Assessment Details'!$O$45:$P$48,2,FALSE)</f>
        <v>#N/A</v>
      </c>
    </row>
    <row r="72" spans="1:52" x14ac:dyDescent="0.25">
      <c r="A72" s="1077">
        <v>63</v>
      </c>
      <c r="B72" s="1078" t="s">
        <v>67</v>
      </c>
      <c r="C72" s="1083" t="str">
        <f t="shared" si="7"/>
        <v>Ene 01</v>
      </c>
      <c r="D72" s="19" t="s">
        <v>750</v>
      </c>
      <c r="E72" s="861" t="str">
        <f>VLOOKUP(D72,Poeng!$B$10:$R$252,Poeng!E$1,FALSE)</f>
        <v xml:space="preserve">Prediction of operational energy consumption </v>
      </c>
      <c r="F72" s="122">
        <f>VLOOKUP(D72,Poeng!$B$10:$AB$252,Poeng!AB$1,FALSE)</f>
        <v>4</v>
      </c>
      <c r="G72" s="43"/>
      <c r="H72" s="123">
        <f>VLOOKUP(D72,Poeng!$B$10:$AE$252,Poeng!AE$1,FALSE)</f>
        <v>0</v>
      </c>
      <c r="I72" s="124" t="str">
        <f>VLOOKUP(D72,Poeng!$B$10:$BE$252,Poeng!BE$1,FALSE)</f>
        <v>N/A</v>
      </c>
      <c r="J72" s="80"/>
      <c r="K72" s="281"/>
      <c r="L72" s="796"/>
      <c r="M72" s="816"/>
      <c r="N72" s="83"/>
      <c r="O72" s="123">
        <f>VLOOKUP(D72,Poeng!$B$10:$BC$252,Poeng!AF$1,FALSE)</f>
        <v>0</v>
      </c>
      <c r="P72" s="123" t="str">
        <f>VLOOKUP(D72,Poeng!$B$10:$BH$252,Poeng!BH$1,FALSE)</f>
        <v>N/A</v>
      </c>
      <c r="Q72" s="744"/>
      <c r="R72" s="745"/>
      <c r="S72" s="738"/>
      <c r="T72" s="319"/>
      <c r="U72" s="83"/>
      <c r="V72" s="123">
        <f>VLOOKUP(D72,Poeng!$B$10:$BC$252,Poeng!AG$1,FALSE)</f>
        <v>0</v>
      </c>
      <c r="W72" s="123" t="str">
        <f>VLOOKUP(D72,Poeng!$B$10:$BK$252,Poeng!BK$1,FALSE)</f>
        <v>N/A</v>
      </c>
      <c r="X72" s="81"/>
      <c r="Y72" s="80"/>
      <c r="Z72" s="738"/>
      <c r="AC72" s="107">
        <f t="shared" si="0"/>
        <v>1</v>
      </c>
      <c r="AD72" s="3" t="e">
        <f>VLOOKUP(K72,'Assessment Details'!$O$45:$P$48,2,FALSE)</f>
        <v>#N/A</v>
      </c>
      <c r="AE72" s="3" t="e">
        <f>VLOOKUP(R72,'Assessment Details'!$O$45:$P$48,2,FALSE)</f>
        <v>#N/A</v>
      </c>
      <c r="AF72" s="3" t="e">
        <f>VLOOKUP(Y72,'Assessment Details'!$O$45:$P$48,2,FALSE)</f>
        <v>#N/A</v>
      </c>
    </row>
    <row r="73" spans="1:52" ht="24" x14ac:dyDescent="0.25">
      <c r="A73" s="1077">
        <v>64</v>
      </c>
      <c r="B73" s="1078" t="s">
        <v>67</v>
      </c>
      <c r="C73" s="924" t="s">
        <v>137</v>
      </c>
      <c r="D73" s="824" t="s">
        <v>137</v>
      </c>
      <c r="E73" s="860" t="str">
        <f>VLOOKUP(D73,Poeng!$B$10:$R$252,Poeng!E$1,FALSE)</f>
        <v>Ene 02 Energy monitoring</v>
      </c>
      <c r="F73" s="865">
        <f>VLOOKUP(D73,Poeng!$B$10:$AB$252,Poeng!AB$1,FALSE)</f>
        <v>2</v>
      </c>
      <c r="G73" s="1001"/>
      <c r="H73" s="866" t="str">
        <f>VLOOKUP(D73,Poeng!$B$10:$AI$252,Poeng!AI$1,FALSE)&amp;" c. "&amp;ROUND(VLOOKUP(D73,Poeng!$B$10:$AE$252,Poeng!AE$1,FALSE)*100,1)&amp;" %"</f>
        <v>0 c. 0 %</v>
      </c>
      <c r="I73" s="924" t="str">
        <f>VLOOKUP(D73,Poeng!$B$10:$BE$252,Poeng!BE$1,FALSE)</f>
        <v>N/A</v>
      </c>
      <c r="J73" s="80"/>
      <c r="K73" s="281"/>
      <c r="L73" s="796"/>
      <c r="M73" s="816"/>
      <c r="N73" s="1001"/>
      <c r="O73" s="877" t="str">
        <f>VLOOKUP(D73,Poeng!$B$10:$BC$252,Poeng!AJ$1,FALSE)&amp;" c. "&amp;ROUND(VLOOKUP(D73,Poeng!$B$10:$BC$252,Poeng!AF$1,FALSE)*100,1)&amp;" %"</f>
        <v>0 c. 0 %</v>
      </c>
      <c r="P73" s="123" t="str">
        <f>VLOOKUP(D73,Poeng!$B$10:$BH$252,Poeng!BH$1,FALSE)</f>
        <v>N/A</v>
      </c>
      <c r="Q73" s="744"/>
      <c r="R73" s="745"/>
      <c r="S73" s="738"/>
      <c r="T73" s="319"/>
      <c r="U73" s="1001"/>
      <c r="V73" s="877" t="str">
        <f>VLOOKUP(D73,Poeng!$B$10:$BC$252,Poeng!AK$1,FALSE)&amp;" c. "&amp;ROUND(VLOOKUP(D73,Poeng!$B$10:$BC$252,Poeng!AG$1,FALSE)*100,1)&amp;" %"</f>
        <v>0 c. 0 %</v>
      </c>
      <c r="W73" s="123" t="str">
        <f>VLOOKUP(D73,Poeng!$B$10:$BK$252,Poeng!BK$1,FALSE)</f>
        <v>N/A</v>
      </c>
      <c r="X73" s="81"/>
      <c r="Y73" s="80"/>
      <c r="Z73" s="738"/>
      <c r="AA73" s="133"/>
      <c r="AB73" s="684" t="s">
        <v>454</v>
      </c>
      <c r="AC73" s="107">
        <f t="shared" si="0"/>
        <v>1</v>
      </c>
      <c r="AD73" s="3" t="e">
        <f>VLOOKUP(K73,'Assessment Details'!$O$45:$P$48,2,FALSE)</f>
        <v>#N/A</v>
      </c>
      <c r="AE73" s="3" t="e">
        <f>VLOOKUP(R73,'Assessment Details'!$O$45:$P$48,2,FALSE)</f>
        <v>#N/A</v>
      </c>
      <c r="AF73" s="3" t="e">
        <f>VLOOKUP(Y73,'Assessment Details'!$O$45:$P$48,2,FALSE)</f>
        <v>#N/A</v>
      </c>
      <c r="AI73" s="70" t="str">
        <f>ais_ja</f>
        <v>Ja</v>
      </c>
      <c r="AJ73" s="671" t="s">
        <v>135</v>
      </c>
      <c r="AK73" s="653" t="s">
        <v>452</v>
      </c>
      <c r="AL73" s="653" t="s">
        <v>453</v>
      </c>
      <c r="AM73" s="653" t="s">
        <v>454</v>
      </c>
      <c r="AN73" s="653" t="s">
        <v>455</v>
      </c>
      <c r="AO73" s="653" t="s">
        <v>440</v>
      </c>
      <c r="AP73" s="70"/>
      <c r="AR73" s="1" t="str">
        <f>IF($AJ$8=ais_nei,AIS_NA,"No")</f>
        <v>No</v>
      </c>
      <c r="AS73" s="23" t="str">
        <f t="shared" ref="AS73:AX73" si="11">IF(OR($AJ$4=ais_nei,$AJ$8=ais_nei),AIS_NA,IF(AK73="",AIS_NA,AK73))</f>
        <v>N/A</v>
      </c>
      <c r="AT73" s="23" t="str">
        <f t="shared" si="11"/>
        <v>N/A</v>
      </c>
      <c r="AU73" s="23" t="str">
        <f t="shared" si="11"/>
        <v>N/A</v>
      </c>
      <c r="AV73" s="23" t="str">
        <f t="shared" si="11"/>
        <v>N/A</v>
      </c>
      <c r="AW73" s="23" t="str">
        <f t="shared" si="11"/>
        <v>N/A</v>
      </c>
      <c r="AX73" s="23" t="str">
        <f t="shared" si="11"/>
        <v>N/A</v>
      </c>
      <c r="AY73" s="1" t="s">
        <v>12</v>
      </c>
      <c r="AZ73" s="640"/>
    </row>
    <row r="74" spans="1:52" x14ac:dyDescent="0.25">
      <c r="A74" s="1077">
        <v>65</v>
      </c>
      <c r="B74" s="1078" t="s">
        <v>67</v>
      </c>
      <c r="C74" s="1083" t="str">
        <f t="shared" si="7"/>
        <v>Ene 02</v>
      </c>
      <c r="D74" s="824" t="s">
        <v>254</v>
      </c>
      <c r="E74" s="861" t="str">
        <f>VLOOKUP(D74,Poeng!$B$10:$R$252,Poeng!E$1,FALSE)</f>
        <v xml:space="preserve">Sub-metering of end-use categories </v>
      </c>
      <c r="F74" s="122">
        <f>VLOOKUP(D74,Poeng!$B$10:$AB$252,Poeng!AB$1,FALSE)</f>
        <v>1</v>
      </c>
      <c r="G74" s="43"/>
      <c r="H74" s="123">
        <f>VLOOKUP(D74,Poeng!$B$10:$AE$252,Poeng!AE$1,FALSE)</f>
        <v>0</v>
      </c>
      <c r="I74" s="124" t="str">
        <f>VLOOKUP(D74,Poeng!$B$10:$BE$252,Poeng!BE$1,FALSE)</f>
        <v>N/A</v>
      </c>
      <c r="J74" s="80"/>
      <c r="K74" s="281"/>
      <c r="L74" s="796"/>
      <c r="M74" s="816"/>
      <c r="N74" s="83"/>
      <c r="O74" s="123">
        <f>VLOOKUP(D74,Poeng!$B$10:$BC$252,Poeng!AF$1,FALSE)</f>
        <v>0</v>
      </c>
      <c r="P74" s="123" t="str">
        <f>VLOOKUP(D74,Poeng!$B$10:$BH$252,Poeng!BH$1,FALSE)</f>
        <v>N/A</v>
      </c>
      <c r="Q74" s="744"/>
      <c r="R74" s="745"/>
      <c r="S74" s="738"/>
      <c r="T74" s="319"/>
      <c r="U74" s="83"/>
      <c r="V74" s="123">
        <f>VLOOKUP(D74,Poeng!$B$10:$BC$252,Poeng!AG$1,FALSE)</f>
        <v>0</v>
      </c>
      <c r="W74" s="123" t="str">
        <f>VLOOKUP(D74,Poeng!$B$10:$BK$252,Poeng!BK$1,FALSE)</f>
        <v>N/A</v>
      </c>
      <c r="X74" s="81"/>
      <c r="Y74" s="80"/>
      <c r="Z74" s="738"/>
      <c r="AA74" s="133"/>
      <c r="AB74" s="684"/>
      <c r="AC74" s="107">
        <f t="shared" si="0"/>
        <v>1</v>
      </c>
      <c r="AD74" s="3" t="e">
        <f>VLOOKUP(K74,'Assessment Details'!$O$45:$P$48,2,FALSE)</f>
        <v>#N/A</v>
      </c>
      <c r="AE74" s="3" t="e">
        <f>VLOOKUP(R74,'Assessment Details'!$O$45:$P$48,2,FALSE)</f>
        <v>#N/A</v>
      </c>
      <c r="AF74" s="3" t="e">
        <f>VLOOKUP(Y74,'Assessment Details'!$O$45:$P$48,2,FALSE)</f>
        <v>#N/A</v>
      </c>
      <c r="AI74" s="70"/>
      <c r="AJ74" s="671"/>
      <c r="AK74" s="653"/>
      <c r="AL74" s="653"/>
      <c r="AM74" s="653"/>
      <c r="AN74" s="653"/>
      <c r="AO74" s="653"/>
      <c r="AP74" s="70"/>
      <c r="AS74" s="23"/>
      <c r="AT74" s="23"/>
      <c r="AU74" s="23"/>
      <c r="AV74" s="23"/>
      <c r="AW74" s="23"/>
      <c r="AX74" s="23"/>
      <c r="AZ74" s="640"/>
    </row>
    <row r="75" spans="1:52" x14ac:dyDescent="0.25">
      <c r="A75" s="1077">
        <v>66</v>
      </c>
      <c r="B75" s="1078" t="s">
        <v>67</v>
      </c>
      <c r="C75" s="1083" t="str">
        <f t="shared" si="7"/>
        <v>Ene 02</v>
      </c>
      <c r="D75" s="824" t="s">
        <v>356</v>
      </c>
      <c r="E75" s="861" t="str">
        <f>VLOOKUP(D75,Poeng!$B$10:$R$252,Poeng!E$1,FALSE)</f>
        <v xml:space="preserve">Sub-metering of high energy load and tenancy areas </v>
      </c>
      <c r="F75" s="122">
        <f>VLOOKUP(D75,Poeng!$B$10:$AB$252,Poeng!AB$1,FALSE)</f>
        <v>1</v>
      </c>
      <c r="G75" s="43"/>
      <c r="H75" s="123">
        <f>VLOOKUP(D75,Poeng!$B$10:$AE$252,Poeng!AE$1,FALSE)</f>
        <v>0</v>
      </c>
      <c r="I75" s="124" t="str">
        <f>VLOOKUP(D75,Poeng!$B$10:$BE$252,Poeng!BE$1,FALSE)</f>
        <v>N/A</v>
      </c>
      <c r="J75" s="80"/>
      <c r="K75" s="281"/>
      <c r="L75" s="796"/>
      <c r="M75" s="816"/>
      <c r="N75" s="83"/>
      <c r="O75" s="123">
        <f>VLOOKUP(D75,Poeng!$B$10:$BC$252,Poeng!AF$1,FALSE)</f>
        <v>0</v>
      </c>
      <c r="P75" s="123" t="str">
        <f>VLOOKUP(D75,Poeng!$B$10:$BH$252,Poeng!BH$1,FALSE)</f>
        <v>N/A</v>
      </c>
      <c r="Q75" s="744"/>
      <c r="R75" s="745"/>
      <c r="S75" s="738"/>
      <c r="T75" s="319"/>
      <c r="U75" s="83"/>
      <c r="V75" s="123">
        <f>VLOOKUP(D75,Poeng!$B$10:$BC$252,Poeng!AG$1,FALSE)</f>
        <v>0</v>
      </c>
      <c r="W75" s="123" t="str">
        <f>VLOOKUP(D75,Poeng!$B$10:$BK$252,Poeng!BK$1,FALSE)</f>
        <v>N/A</v>
      </c>
      <c r="X75" s="81"/>
      <c r="Y75" s="80"/>
      <c r="Z75" s="738"/>
      <c r="AA75" s="133"/>
      <c r="AB75" s="684"/>
      <c r="AC75" s="107">
        <f t="shared" si="0"/>
        <v>1</v>
      </c>
      <c r="AD75" s="3" t="e">
        <f>VLOOKUP(K75,'Assessment Details'!$O$45:$P$48,2,FALSE)</f>
        <v>#N/A</v>
      </c>
      <c r="AE75" s="3" t="e">
        <f>VLOOKUP(R75,'Assessment Details'!$O$45:$P$48,2,FALSE)</f>
        <v>#N/A</v>
      </c>
      <c r="AF75" s="3" t="e">
        <f>VLOOKUP(Y75,'Assessment Details'!$O$45:$P$48,2,FALSE)</f>
        <v>#N/A</v>
      </c>
      <c r="AI75" s="70"/>
      <c r="AJ75" s="671"/>
      <c r="AK75" s="653"/>
      <c r="AL75" s="653"/>
      <c r="AM75" s="653"/>
      <c r="AN75" s="653"/>
      <c r="AO75" s="653"/>
      <c r="AP75" s="70"/>
      <c r="AS75" s="23"/>
      <c r="AT75" s="23"/>
      <c r="AU75" s="23"/>
      <c r="AV75" s="23"/>
      <c r="AW75" s="23"/>
      <c r="AX75" s="23"/>
      <c r="AZ75" s="640"/>
    </row>
    <row r="76" spans="1:52" x14ac:dyDescent="0.25">
      <c r="A76" s="1077">
        <v>67</v>
      </c>
      <c r="B76" s="1078" t="s">
        <v>67</v>
      </c>
      <c r="C76" s="1083" t="str">
        <f t="shared" si="7"/>
        <v>Ene 02</v>
      </c>
      <c r="D76" s="824" t="s">
        <v>751</v>
      </c>
      <c r="E76" s="861" t="str">
        <f>VLOOKUP(D76,Poeng!$B$10:$R$252,Poeng!E$1,FALSE)</f>
        <v xml:space="preserve">Sub-metering of energy consumption in residential buildings </v>
      </c>
      <c r="F76" s="122">
        <f>VLOOKUP(D76,Poeng!$B$10:$AB$252,Poeng!AB$1,FALSE)</f>
        <v>0</v>
      </c>
      <c r="G76" s="43"/>
      <c r="H76" s="123">
        <f>VLOOKUP(D76,Poeng!$B$10:$AE$252,Poeng!AE$1,FALSE)</f>
        <v>0</v>
      </c>
      <c r="I76" s="124" t="str">
        <f>VLOOKUP(D76,Poeng!$B$10:$BE$252,Poeng!BE$1,FALSE)</f>
        <v>N/A</v>
      </c>
      <c r="J76" s="80"/>
      <c r="K76" s="281"/>
      <c r="L76" s="796"/>
      <c r="M76" s="816"/>
      <c r="N76" s="83"/>
      <c r="O76" s="123">
        <f>VLOOKUP(D76,Poeng!$B$10:$BC$252,Poeng!AF$1,FALSE)</f>
        <v>0</v>
      </c>
      <c r="P76" s="123" t="str">
        <f>VLOOKUP(D76,Poeng!$B$10:$BH$252,Poeng!BH$1,FALSE)</f>
        <v>N/A</v>
      </c>
      <c r="Q76" s="744"/>
      <c r="R76" s="745"/>
      <c r="S76" s="738"/>
      <c r="T76" s="319"/>
      <c r="U76" s="83"/>
      <c r="V76" s="123">
        <f>VLOOKUP(D76,Poeng!$B$10:$BC$252,Poeng!AG$1,FALSE)</f>
        <v>0</v>
      </c>
      <c r="W76" s="123" t="str">
        <f>VLOOKUP(D76,Poeng!$B$10:$BK$252,Poeng!BK$1,FALSE)</f>
        <v>N/A</v>
      </c>
      <c r="X76" s="81"/>
      <c r="Y76" s="80"/>
      <c r="Z76" s="738"/>
      <c r="AA76" s="133"/>
      <c r="AB76" s="684"/>
      <c r="AC76" s="107">
        <f t="shared" si="0"/>
        <v>2</v>
      </c>
      <c r="AD76" s="3" t="e">
        <f>VLOOKUP(K76,'Assessment Details'!$O$45:$P$48,2,FALSE)</f>
        <v>#N/A</v>
      </c>
      <c r="AE76" s="3" t="e">
        <f>VLOOKUP(R76,'Assessment Details'!$O$45:$P$48,2,FALSE)</f>
        <v>#N/A</v>
      </c>
      <c r="AF76" s="3" t="e">
        <f>VLOOKUP(Y76,'Assessment Details'!$O$45:$P$48,2,FALSE)</f>
        <v>#N/A</v>
      </c>
      <c r="AI76" s="70"/>
      <c r="AJ76" s="671"/>
      <c r="AK76" s="653"/>
      <c r="AL76" s="653"/>
      <c r="AM76" s="653"/>
      <c r="AN76" s="653"/>
      <c r="AO76" s="653"/>
      <c r="AP76" s="70"/>
      <c r="AS76" s="23"/>
      <c r="AT76" s="23"/>
      <c r="AU76" s="23"/>
      <c r="AV76" s="23"/>
      <c r="AW76" s="23"/>
      <c r="AX76" s="23"/>
      <c r="AZ76" s="640"/>
    </row>
    <row r="77" spans="1:52" x14ac:dyDescent="0.25">
      <c r="A77" s="1077">
        <v>68</v>
      </c>
      <c r="B77" s="1078" t="s">
        <v>67</v>
      </c>
      <c r="C77" s="924" t="s">
        <v>138</v>
      </c>
      <c r="D77" s="824" t="s">
        <v>138</v>
      </c>
      <c r="E77" s="860" t="str">
        <f>VLOOKUP(D77,Poeng!$B$10:$R$252,Poeng!E$1,FALSE)</f>
        <v>Ene 03 External lighting</v>
      </c>
      <c r="F77" s="865">
        <f>VLOOKUP(D77,Poeng!$B$10:$AB$252,Poeng!AB$1,FALSE)</f>
        <v>1</v>
      </c>
      <c r="G77" s="1001"/>
      <c r="H77" s="866" t="str">
        <f>VLOOKUP(D77,Poeng!$B$10:$AI$252,Poeng!AI$1,FALSE)&amp;" c. "&amp;ROUND(VLOOKUP(D77,Poeng!$B$10:$AE$252,Poeng!AE$1,FALSE)*100,1)&amp;" %"</f>
        <v>0 c. 0 %</v>
      </c>
      <c r="I77" s="924" t="str">
        <f>VLOOKUP(D77,Poeng!$B$10:$BE$252,Poeng!BE$1,FALSE)</f>
        <v>N/A</v>
      </c>
      <c r="J77" s="80"/>
      <c r="K77" s="281"/>
      <c r="L77" s="796"/>
      <c r="M77" s="816"/>
      <c r="N77" s="1001"/>
      <c r="O77" s="877" t="str">
        <f>VLOOKUP(D77,Poeng!$B$10:$BC$252,Poeng!AJ$1,FALSE)&amp;" c. "&amp;ROUND(VLOOKUP(D77,Poeng!$B$10:$BC$252,Poeng!AF$1,FALSE)*100,1)&amp;" %"</f>
        <v>0 c. 0 %</v>
      </c>
      <c r="P77" s="123" t="str">
        <f>VLOOKUP(D77,Poeng!$B$10:$BH$252,Poeng!BH$1,FALSE)</f>
        <v>N/A</v>
      </c>
      <c r="Q77" s="744"/>
      <c r="R77" s="745"/>
      <c r="S77" s="738"/>
      <c r="T77" s="319"/>
      <c r="U77" s="1001"/>
      <c r="V77" s="877" t="str">
        <f>VLOOKUP(D77,Poeng!$B$10:$BC$252,Poeng!AK$1,FALSE)&amp;" c. "&amp;ROUND(VLOOKUP(D77,Poeng!$B$10:$BC$252,Poeng!AG$1,FALSE)*100,1)&amp;" %"</f>
        <v>0 c. 0 %</v>
      </c>
      <c r="W77" s="123" t="str">
        <f>VLOOKUP(D77,Poeng!$B$10:$BK$252,Poeng!BK$1,FALSE)</f>
        <v>N/A</v>
      </c>
      <c r="X77" s="81"/>
      <c r="Y77" s="80"/>
      <c r="Z77" s="738"/>
      <c r="AA77" s="133"/>
      <c r="AB77" s="640" t="s">
        <v>13</v>
      </c>
      <c r="AC77" s="107">
        <f t="shared" ref="AC77:AC142" si="12">IF(F77="",1,IF(F77=0,2,1))</f>
        <v>1</v>
      </c>
      <c r="AD77" s="3" t="e">
        <f>VLOOKUP(K77,'Assessment Details'!$O$45:$P$48,2,FALSE)</f>
        <v>#N/A</v>
      </c>
      <c r="AE77" s="3" t="e">
        <f>VLOOKUP(R77,'Assessment Details'!$O$45:$P$48,2,FALSE)</f>
        <v>#N/A</v>
      </c>
      <c r="AF77" s="3" t="e">
        <f>VLOOKUP(Y77,'Assessment Details'!$O$45:$P$48,2,FALSE)</f>
        <v>#N/A</v>
      </c>
      <c r="AI77" s="70" t="str">
        <f>ais_ja</f>
        <v>Ja</v>
      </c>
      <c r="AJ77" s="671" t="s">
        <v>130</v>
      </c>
      <c r="AK77" s="648" t="s">
        <v>407</v>
      </c>
      <c r="AL77" s="648" t="s">
        <v>411</v>
      </c>
      <c r="AM77" s="648" t="s">
        <v>409</v>
      </c>
      <c r="AN77" s="70"/>
      <c r="AO77" s="70"/>
      <c r="AP77" s="70"/>
      <c r="AR77" s="1" t="s">
        <v>13</v>
      </c>
      <c r="AS77" s="23" t="str">
        <f t="shared" si="3"/>
        <v>N/A</v>
      </c>
      <c r="AT77" s="23" t="str">
        <f t="shared" si="1"/>
        <v>N/A</v>
      </c>
      <c r="AU77" s="23" t="str">
        <f t="shared" si="2"/>
        <v>N/A</v>
      </c>
      <c r="AV77" s="23"/>
      <c r="AW77" s="23"/>
      <c r="AX77" s="23"/>
      <c r="AZ77" s="640"/>
    </row>
    <row r="78" spans="1:52" x14ac:dyDescent="0.25">
      <c r="A78" s="1077">
        <v>69</v>
      </c>
      <c r="B78" s="1078" t="s">
        <v>67</v>
      </c>
      <c r="C78" s="1083" t="str">
        <f t="shared" si="7"/>
        <v>Ene 03</v>
      </c>
      <c r="D78" s="824" t="s">
        <v>752</v>
      </c>
      <c r="E78" s="861" t="str">
        <f>VLOOKUP(D78,Poeng!$B$10:$R$252,Poeng!E$1,FALSE)</f>
        <v>No external lighting within the construction zone</v>
      </c>
      <c r="F78" s="122">
        <f>VLOOKUP(D78,Poeng!$B$10:$AB$252,Poeng!AB$1,FALSE)</f>
        <v>1</v>
      </c>
      <c r="G78" s="43"/>
      <c r="H78" s="123">
        <f>VLOOKUP(D78,Poeng!$B$10:$AE$252,Poeng!AE$1,FALSE)</f>
        <v>0</v>
      </c>
      <c r="I78" s="124" t="str">
        <f>VLOOKUP(D78,Poeng!$B$10:$BE$252,Poeng!BE$1,FALSE)</f>
        <v>N/A</v>
      </c>
      <c r="J78" s="80"/>
      <c r="K78" s="281"/>
      <c r="L78" s="796"/>
      <c r="M78" s="816"/>
      <c r="N78" s="83"/>
      <c r="O78" s="123">
        <f>VLOOKUP(D78,Poeng!$B$10:$BC$252,Poeng!AF$1,FALSE)</f>
        <v>0</v>
      </c>
      <c r="P78" s="123" t="str">
        <f>VLOOKUP(D78,Poeng!$B$10:$BH$252,Poeng!BH$1,FALSE)</f>
        <v>N/A</v>
      </c>
      <c r="Q78" s="744"/>
      <c r="R78" s="745"/>
      <c r="S78" s="738"/>
      <c r="T78" s="319"/>
      <c r="U78" s="83"/>
      <c r="V78" s="123">
        <f>VLOOKUP(D78,Poeng!$B$10:$BC$252,Poeng!AG$1,FALSE)</f>
        <v>0</v>
      </c>
      <c r="W78" s="123" t="str">
        <f>VLOOKUP(D78,Poeng!$B$10:$BK$252,Poeng!BK$1,FALSE)</f>
        <v>N/A</v>
      </c>
      <c r="X78" s="81"/>
      <c r="Y78" s="80"/>
      <c r="Z78" s="738"/>
      <c r="AA78" s="133"/>
      <c r="AB78" s="640"/>
      <c r="AC78" s="107">
        <f t="shared" si="12"/>
        <v>1</v>
      </c>
      <c r="AD78" s="3" t="e">
        <f>VLOOKUP(K78,'Assessment Details'!$O$45:$P$48,2,FALSE)</f>
        <v>#N/A</v>
      </c>
      <c r="AE78" s="3" t="e">
        <f>VLOOKUP(R78,'Assessment Details'!$O$45:$P$48,2,FALSE)</f>
        <v>#N/A</v>
      </c>
      <c r="AF78" s="3" t="e">
        <f>VLOOKUP(Y78,'Assessment Details'!$O$45:$P$48,2,FALSE)</f>
        <v>#N/A</v>
      </c>
      <c r="AI78" s="70"/>
      <c r="AJ78" s="671"/>
      <c r="AK78" s="648"/>
      <c r="AL78" s="648"/>
      <c r="AM78" s="648"/>
      <c r="AN78" s="70"/>
      <c r="AO78" s="70"/>
      <c r="AP78" s="70"/>
      <c r="AS78" s="23"/>
      <c r="AT78" s="23"/>
      <c r="AU78" s="23"/>
      <c r="AV78" s="23"/>
      <c r="AW78" s="23"/>
      <c r="AX78" s="23"/>
      <c r="AZ78" s="640"/>
    </row>
    <row r="79" spans="1:52" x14ac:dyDescent="0.25">
      <c r="A79" s="1077">
        <v>70</v>
      </c>
      <c r="B79" s="1078" t="s">
        <v>67</v>
      </c>
      <c r="C79" s="1083" t="str">
        <f t="shared" si="7"/>
        <v>Ene 03</v>
      </c>
      <c r="D79" s="824" t="s">
        <v>753</v>
      </c>
      <c r="E79" s="861" t="str">
        <f>VLOOKUP(D79,Poeng!$B$10:$R$252,Poeng!E$1,FALSE)</f>
        <v>External lighting within the construction zone</v>
      </c>
      <c r="F79" s="122">
        <f>VLOOKUP(D79,Poeng!$B$10:$AB$252,Poeng!AB$1,FALSE)</f>
        <v>0</v>
      </c>
      <c r="G79" s="43"/>
      <c r="H79" s="123">
        <f>VLOOKUP(D79,Poeng!$B$10:$AE$252,Poeng!AE$1,FALSE)</f>
        <v>0</v>
      </c>
      <c r="I79" s="124" t="str">
        <f>VLOOKUP(D79,Poeng!$B$10:$BE$252,Poeng!BE$1,FALSE)</f>
        <v>N/A</v>
      </c>
      <c r="J79" s="80"/>
      <c r="K79" s="281"/>
      <c r="L79" s="796"/>
      <c r="M79" s="816"/>
      <c r="N79" s="83"/>
      <c r="O79" s="123">
        <f>VLOOKUP(D79,Poeng!$B$10:$BC$252,Poeng!AF$1,FALSE)</f>
        <v>0</v>
      </c>
      <c r="P79" s="123" t="str">
        <f>VLOOKUP(D79,Poeng!$B$10:$BH$252,Poeng!BH$1,FALSE)</f>
        <v>N/A</v>
      </c>
      <c r="Q79" s="744"/>
      <c r="R79" s="745"/>
      <c r="S79" s="738"/>
      <c r="T79" s="319"/>
      <c r="U79" s="83"/>
      <c r="V79" s="123">
        <f>VLOOKUP(D79,Poeng!$B$10:$BC$252,Poeng!AG$1,FALSE)</f>
        <v>0</v>
      </c>
      <c r="W79" s="123" t="str">
        <f>VLOOKUP(D79,Poeng!$B$10:$BK$252,Poeng!BK$1,FALSE)</f>
        <v>N/A</v>
      </c>
      <c r="X79" s="81"/>
      <c r="Y79" s="80"/>
      <c r="Z79" s="738"/>
      <c r="AA79" s="133"/>
      <c r="AB79" s="640"/>
      <c r="AC79" s="107">
        <f t="shared" si="12"/>
        <v>2</v>
      </c>
      <c r="AD79" s="3" t="e">
        <f>VLOOKUP(K79,'Assessment Details'!$O$45:$P$48,2,FALSE)</f>
        <v>#N/A</v>
      </c>
      <c r="AE79" s="3" t="e">
        <f>VLOOKUP(R79,'Assessment Details'!$O$45:$P$48,2,FALSE)</f>
        <v>#N/A</v>
      </c>
      <c r="AF79" s="3" t="e">
        <f>VLOOKUP(Y79,'Assessment Details'!$O$45:$P$48,2,FALSE)</f>
        <v>#N/A</v>
      </c>
      <c r="AI79" s="70"/>
      <c r="AJ79" s="671"/>
      <c r="AK79" s="648"/>
      <c r="AL79" s="648"/>
      <c r="AM79" s="648"/>
      <c r="AN79" s="70"/>
      <c r="AO79" s="70"/>
      <c r="AP79" s="70"/>
      <c r="AS79" s="23"/>
      <c r="AT79" s="23"/>
      <c r="AU79" s="23"/>
      <c r="AV79" s="23"/>
      <c r="AW79" s="23"/>
      <c r="AX79" s="23"/>
      <c r="AZ79" s="640"/>
    </row>
    <row r="80" spans="1:52" x14ac:dyDescent="0.25">
      <c r="A80" s="1077">
        <v>71</v>
      </c>
      <c r="B80" s="1078" t="s">
        <v>67</v>
      </c>
      <c r="C80" s="924" t="s">
        <v>140</v>
      </c>
      <c r="D80" s="824" t="s">
        <v>140</v>
      </c>
      <c r="E80" s="860" t="str">
        <f>VLOOKUP(D80,Poeng!$B$10:$R$252,Poeng!E$1,FALSE)</f>
        <v>Ene 05 Energy efficient cold storage</v>
      </c>
      <c r="F80" s="865">
        <f>VLOOKUP(D80,Poeng!$B$10:$AB$252,Poeng!AB$1,FALSE)</f>
        <v>2</v>
      </c>
      <c r="G80" s="1001"/>
      <c r="H80" s="866" t="str">
        <f>VLOOKUP(D80,Poeng!$B$10:$AI$252,Poeng!AI$1,FALSE)&amp;" c. "&amp;ROUND(VLOOKUP(D80,Poeng!$B$10:$AE$252,Poeng!AE$1,FALSE)*100,1)&amp;" %"</f>
        <v>0 c. 0 %</v>
      </c>
      <c r="I80" s="924" t="str">
        <f>VLOOKUP(D80,Poeng!$B$10:$BE$252,Poeng!BE$1,FALSE)</f>
        <v>N/A</v>
      </c>
      <c r="J80" s="80"/>
      <c r="K80" s="281"/>
      <c r="L80" s="796"/>
      <c r="M80" s="816"/>
      <c r="N80" s="1001"/>
      <c r="O80" s="877" t="str">
        <f>VLOOKUP(D80,Poeng!$B$10:$BC$252,Poeng!AJ$1,FALSE)&amp;" c. "&amp;ROUND(VLOOKUP(D80,Poeng!$B$10:$BC$252,Poeng!AF$1,FALSE)*100,1)&amp;" %"</f>
        <v>0 c. 0 %</v>
      </c>
      <c r="P80" s="123" t="str">
        <f>VLOOKUP(D80,Poeng!$B$10:$BH$252,Poeng!BH$1,FALSE)</f>
        <v>N/A</v>
      </c>
      <c r="Q80" s="744"/>
      <c r="R80" s="745"/>
      <c r="S80" s="738"/>
      <c r="T80" s="319"/>
      <c r="U80" s="1001"/>
      <c r="V80" s="877" t="str">
        <f>VLOOKUP(D80,Poeng!$B$10:$BC$252,Poeng!AK$1,FALSE)&amp;" c. "&amp;ROUND(VLOOKUP(D80,Poeng!$B$10:$BC$252,Poeng!AG$1,FALSE)*100,1)&amp;" %"</f>
        <v>0 c. 0 %</v>
      </c>
      <c r="W80" s="123" t="str">
        <f>VLOOKUP(D80,Poeng!$B$10:$BK$252,Poeng!BK$1,FALSE)</f>
        <v>N/A</v>
      </c>
      <c r="X80" s="81"/>
      <c r="Y80" s="80"/>
      <c r="Z80" s="738"/>
      <c r="AA80" s="133"/>
      <c r="AB80" s="640" t="s">
        <v>13</v>
      </c>
      <c r="AC80" s="107">
        <f t="shared" si="12"/>
        <v>1</v>
      </c>
      <c r="AD80" s="3" t="e">
        <f>VLOOKUP(K80,'Assessment Details'!$O$45:$P$48,2,FALSE)</f>
        <v>#N/A</v>
      </c>
      <c r="AE80" s="3" t="e">
        <f>VLOOKUP(R80,'Assessment Details'!$O$45:$P$48,2,FALSE)</f>
        <v>#N/A</v>
      </c>
      <c r="AF80" s="3" t="e">
        <f>VLOOKUP(Y80,'Assessment Details'!$O$45:$P$48,2,FALSE)</f>
        <v>#N/A</v>
      </c>
      <c r="AI80" s="70" t="str">
        <f>ais_ja</f>
        <v>Ja</v>
      </c>
      <c r="AJ80" s="671" t="s">
        <v>131</v>
      </c>
      <c r="AK80" s="648" t="s">
        <v>407</v>
      </c>
      <c r="AL80" s="648" t="s">
        <v>411</v>
      </c>
      <c r="AM80" s="648" t="s">
        <v>409</v>
      </c>
      <c r="AN80" s="70"/>
      <c r="AO80" s="70"/>
      <c r="AP80" s="70"/>
      <c r="AR80" s="1" t="s">
        <v>13</v>
      </c>
      <c r="AS80" s="23" t="str">
        <f t="shared" si="3"/>
        <v>N/A</v>
      </c>
      <c r="AT80" s="23" t="str">
        <f t="shared" si="1"/>
        <v>N/A</v>
      </c>
      <c r="AU80" s="23" t="str">
        <f t="shared" si="2"/>
        <v>N/A</v>
      </c>
      <c r="AV80" s="23"/>
      <c r="AW80" s="23"/>
      <c r="AX80" s="23"/>
      <c r="AZ80" s="640"/>
    </row>
    <row r="81" spans="1:52" x14ac:dyDescent="0.25">
      <c r="A81" s="1077">
        <v>72</v>
      </c>
      <c r="B81" s="1078" t="s">
        <v>67</v>
      </c>
      <c r="C81" s="1083" t="str">
        <f t="shared" si="7"/>
        <v>Ene 05</v>
      </c>
      <c r="D81" s="824" t="s">
        <v>754</v>
      </c>
      <c r="E81" s="861" t="str">
        <f>VLOOKUP(D81,Poeng!$B$10:$R$252,Poeng!E$1,FALSE)</f>
        <v xml:space="preserve">Design of energy efficient refrigeration- and freezing room </v>
      </c>
      <c r="F81" s="122">
        <f>VLOOKUP(D81,Poeng!$B$10:$AB$252,Poeng!AB$1,FALSE)</f>
        <v>1</v>
      </c>
      <c r="G81" s="43"/>
      <c r="H81" s="123">
        <f>VLOOKUP(D81,Poeng!$B$10:$AE$252,Poeng!AE$1,FALSE)</f>
        <v>0</v>
      </c>
      <c r="I81" s="124" t="str">
        <f>VLOOKUP(D81,Poeng!$B$10:$BE$252,Poeng!BE$1,FALSE)</f>
        <v>N/A</v>
      </c>
      <c r="J81" s="80"/>
      <c r="K81" s="281"/>
      <c r="L81" s="796"/>
      <c r="M81" s="816"/>
      <c r="N81" s="83"/>
      <c r="O81" s="123">
        <f>VLOOKUP(D81,Poeng!$B$10:$BC$252,Poeng!AF$1,FALSE)</f>
        <v>0</v>
      </c>
      <c r="P81" s="123" t="str">
        <f>VLOOKUP(D81,Poeng!$B$10:$BH$252,Poeng!BH$1,FALSE)</f>
        <v>N/A</v>
      </c>
      <c r="Q81" s="744"/>
      <c r="R81" s="745"/>
      <c r="S81" s="738"/>
      <c r="T81" s="319"/>
      <c r="U81" s="83"/>
      <c r="V81" s="123">
        <f>VLOOKUP(D81,Poeng!$B$10:$BC$252,Poeng!AG$1,FALSE)</f>
        <v>0</v>
      </c>
      <c r="W81" s="123" t="str">
        <f>VLOOKUP(D81,Poeng!$B$10:$BK$252,Poeng!BK$1,FALSE)</f>
        <v>N/A</v>
      </c>
      <c r="X81" s="81"/>
      <c r="Y81" s="80"/>
      <c r="Z81" s="738"/>
      <c r="AA81" s="133"/>
      <c r="AB81" s="640"/>
      <c r="AC81" s="107">
        <f t="shared" si="12"/>
        <v>1</v>
      </c>
      <c r="AD81" s="3" t="e">
        <f>VLOOKUP(K81,'Assessment Details'!$O$45:$P$48,2,FALSE)</f>
        <v>#N/A</v>
      </c>
      <c r="AE81" s="3" t="e">
        <f>VLOOKUP(R81,'Assessment Details'!$O$45:$P$48,2,FALSE)</f>
        <v>#N/A</v>
      </c>
      <c r="AF81" s="3" t="e">
        <f>VLOOKUP(Y81,'Assessment Details'!$O$45:$P$48,2,FALSE)</f>
        <v>#N/A</v>
      </c>
      <c r="AI81" s="70"/>
      <c r="AJ81" s="671"/>
      <c r="AK81" s="648"/>
      <c r="AL81" s="648"/>
      <c r="AM81" s="648"/>
      <c r="AN81" s="70"/>
      <c r="AO81" s="70"/>
      <c r="AP81" s="70"/>
      <c r="AS81" s="23"/>
      <c r="AT81" s="23"/>
      <c r="AU81" s="23"/>
      <c r="AV81" s="23"/>
      <c r="AW81" s="23"/>
      <c r="AX81" s="23"/>
      <c r="AZ81" s="640"/>
    </row>
    <row r="82" spans="1:52" x14ac:dyDescent="0.25">
      <c r="A82" s="1077">
        <v>73</v>
      </c>
      <c r="B82" s="1078" t="s">
        <v>67</v>
      </c>
      <c r="C82" s="1083" t="str">
        <f t="shared" si="7"/>
        <v>Ene 05</v>
      </c>
      <c r="D82" s="824" t="s">
        <v>755</v>
      </c>
      <c r="E82" s="861" t="str">
        <f>VLOOKUP(D82,Poeng!$B$10:$R$252,Poeng!E$1,FALSE)</f>
        <v xml:space="preserve">Indirect greenhouse gas emissions </v>
      </c>
      <c r="F82" s="122">
        <f>VLOOKUP(D82,Poeng!$B$10:$AB$252,Poeng!AB$1,FALSE)</f>
        <v>1</v>
      </c>
      <c r="G82" s="43"/>
      <c r="H82" s="123">
        <f>VLOOKUP(D82,Poeng!$B$10:$AE$252,Poeng!AE$1,FALSE)</f>
        <v>0</v>
      </c>
      <c r="I82" s="124" t="str">
        <f>VLOOKUP(D82,Poeng!$B$10:$BE$252,Poeng!BE$1,FALSE)</f>
        <v>N/A</v>
      </c>
      <c r="J82" s="80"/>
      <c r="K82" s="281"/>
      <c r="L82" s="796"/>
      <c r="M82" s="816"/>
      <c r="N82" s="83"/>
      <c r="O82" s="123">
        <f>VLOOKUP(D82,Poeng!$B$10:$BC$252,Poeng!AF$1,FALSE)</f>
        <v>0</v>
      </c>
      <c r="P82" s="123" t="str">
        <f>VLOOKUP(D82,Poeng!$B$10:$BH$252,Poeng!BH$1,FALSE)</f>
        <v>N/A</v>
      </c>
      <c r="Q82" s="744"/>
      <c r="R82" s="745"/>
      <c r="S82" s="738"/>
      <c r="T82" s="319"/>
      <c r="U82" s="83"/>
      <c r="V82" s="123">
        <f>VLOOKUP(D82,Poeng!$B$10:$BC$252,Poeng!AG$1,FALSE)</f>
        <v>0</v>
      </c>
      <c r="W82" s="123" t="str">
        <f>VLOOKUP(D82,Poeng!$B$10:$BK$252,Poeng!BK$1,FALSE)</f>
        <v>N/A</v>
      </c>
      <c r="X82" s="81"/>
      <c r="Y82" s="80"/>
      <c r="Z82" s="738"/>
      <c r="AA82" s="133"/>
      <c r="AB82" s="640"/>
      <c r="AC82" s="107">
        <f t="shared" si="12"/>
        <v>1</v>
      </c>
      <c r="AD82" s="3" t="e">
        <f>VLOOKUP(K82,'Assessment Details'!$O$45:$P$48,2,FALSE)</f>
        <v>#N/A</v>
      </c>
      <c r="AE82" s="3" t="e">
        <f>VLOOKUP(R82,'Assessment Details'!$O$45:$P$48,2,FALSE)</f>
        <v>#N/A</v>
      </c>
      <c r="AF82" s="3" t="e">
        <f>VLOOKUP(Y82,'Assessment Details'!$O$45:$P$48,2,FALSE)</f>
        <v>#N/A</v>
      </c>
      <c r="AI82" s="70"/>
      <c r="AJ82" s="671"/>
      <c r="AK82" s="648"/>
      <c r="AL82" s="648"/>
      <c r="AM82" s="648"/>
      <c r="AN82" s="70"/>
      <c r="AO82" s="70"/>
      <c r="AP82" s="70"/>
      <c r="AS82" s="23"/>
      <c r="AT82" s="23"/>
      <c r="AU82" s="23"/>
      <c r="AV82" s="23"/>
      <c r="AW82" s="23"/>
      <c r="AX82" s="23"/>
      <c r="AZ82" s="640"/>
    </row>
    <row r="83" spans="1:52" x14ac:dyDescent="0.25">
      <c r="A83" s="1077">
        <v>74</v>
      </c>
      <c r="B83" s="1078" t="s">
        <v>67</v>
      </c>
      <c r="C83" s="924" t="s">
        <v>141</v>
      </c>
      <c r="D83" s="824" t="s">
        <v>141</v>
      </c>
      <c r="E83" s="860" t="str">
        <f>VLOOKUP(D83,Poeng!$B$10:$R$252,Poeng!E$1,FALSE)</f>
        <v>Ene 06 Energy efficient transportation systems</v>
      </c>
      <c r="F83" s="865">
        <f>VLOOKUP(D83,Poeng!$B$10:$AB$252,Poeng!AB$1,FALSE)</f>
        <v>3</v>
      </c>
      <c r="G83" s="1001"/>
      <c r="H83" s="866" t="str">
        <f>VLOOKUP(D83,Poeng!$B$10:$AI$252,Poeng!AI$1,FALSE)&amp;" c. "&amp;ROUND(VLOOKUP(D83,Poeng!$B$10:$AE$252,Poeng!AE$1,FALSE)*100,1)&amp;" %"</f>
        <v>0 c. 0 %</v>
      </c>
      <c r="I83" s="924" t="str">
        <f>VLOOKUP(D83,Poeng!$B$10:$BE$252,Poeng!BE$1,FALSE)</f>
        <v>N/A</v>
      </c>
      <c r="J83" s="80"/>
      <c r="K83" s="281"/>
      <c r="L83" s="796"/>
      <c r="M83" s="816"/>
      <c r="N83" s="1001"/>
      <c r="O83" s="877" t="str">
        <f>VLOOKUP(D83,Poeng!$B$10:$BC$252,Poeng!AJ$1,FALSE)&amp;" c. "&amp;ROUND(VLOOKUP(D83,Poeng!$B$10:$BC$252,Poeng!AF$1,FALSE)*100,1)&amp;" %"</f>
        <v>0 c. 0 %</v>
      </c>
      <c r="P83" s="123" t="str">
        <f>VLOOKUP(D83,Poeng!$B$10:$BH$252,Poeng!BH$1,FALSE)</f>
        <v>N/A</v>
      </c>
      <c r="Q83" s="744"/>
      <c r="R83" s="745"/>
      <c r="S83" s="738"/>
      <c r="T83" s="319"/>
      <c r="U83" s="1001"/>
      <c r="V83" s="877" t="str">
        <f>VLOOKUP(D83,Poeng!$B$10:$BC$252,Poeng!AK$1,FALSE)&amp;" c. "&amp;ROUND(VLOOKUP(D83,Poeng!$B$10:$BC$252,Poeng!AG$1,FALSE)*100,1)&amp;" %"</f>
        <v>0 c. 0 %</v>
      </c>
      <c r="W83" s="123" t="str">
        <f>VLOOKUP(D83,Poeng!$B$10:$BK$252,Poeng!BK$1,FALSE)</f>
        <v>N/A</v>
      </c>
      <c r="X83" s="81"/>
      <c r="Y83" s="80"/>
      <c r="Z83" s="738"/>
      <c r="AA83" s="133"/>
      <c r="AB83" s="640" t="s">
        <v>13</v>
      </c>
      <c r="AC83" s="107">
        <f t="shared" si="12"/>
        <v>1</v>
      </c>
      <c r="AD83" s="3" t="e">
        <f>VLOOKUP(K83,'Assessment Details'!$O$45:$P$48,2,FALSE)</f>
        <v>#N/A</v>
      </c>
      <c r="AE83" s="3" t="e">
        <f>VLOOKUP(R83,'Assessment Details'!$O$45:$P$48,2,FALSE)</f>
        <v>#N/A</v>
      </c>
      <c r="AF83" s="3" t="e">
        <f>VLOOKUP(Y83,'Assessment Details'!$O$45:$P$48,2,FALSE)</f>
        <v>#N/A</v>
      </c>
      <c r="AI83" s="70"/>
      <c r="AJ83" s="671" t="s">
        <v>132</v>
      </c>
      <c r="AK83" s="648" t="s">
        <v>407</v>
      </c>
      <c r="AL83" s="648" t="s">
        <v>409</v>
      </c>
      <c r="AM83" s="70"/>
      <c r="AN83" s="70"/>
      <c r="AO83" s="70"/>
      <c r="AP83" s="70"/>
      <c r="AR83" s="1" t="s">
        <v>13</v>
      </c>
      <c r="AS83" s="23" t="str">
        <f t="shared" si="3"/>
        <v>N/A</v>
      </c>
      <c r="AT83" s="23" t="str">
        <f t="shared" si="1"/>
        <v>N/A</v>
      </c>
      <c r="AU83" s="23" t="str">
        <f t="shared" si="2"/>
        <v>N/A</v>
      </c>
      <c r="AV83" s="23"/>
      <c r="AW83" s="23"/>
      <c r="AX83" s="23"/>
      <c r="AZ83" s="640"/>
    </row>
    <row r="84" spans="1:52" x14ac:dyDescent="0.25">
      <c r="A84" s="1077">
        <v>75</v>
      </c>
      <c r="B84" s="1078" t="s">
        <v>67</v>
      </c>
      <c r="C84" s="1083" t="str">
        <f t="shared" si="7"/>
        <v>Ene 06</v>
      </c>
      <c r="D84" s="824" t="s">
        <v>756</v>
      </c>
      <c r="E84" s="861" t="str">
        <f>VLOOKUP(D84,Poeng!$B$10:$R$252,Poeng!E$1,FALSE)</f>
        <v>Transport needs and usage patterns</v>
      </c>
      <c r="F84" s="122">
        <f>VLOOKUP(D84,Poeng!$B$10:$AB$252,Poeng!AB$1,FALSE)</f>
        <v>1</v>
      </c>
      <c r="G84" s="43"/>
      <c r="H84" s="123">
        <f>VLOOKUP(D84,Poeng!$B$10:$AE$252,Poeng!AE$1,FALSE)</f>
        <v>0</v>
      </c>
      <c r="I84" s="124" t="str">
        <f>VLOOKUP(D84,Poeng!$B$10:$BE$252,Poeng!BE$1,FALSE)</f>
        <v>N/A</v>
      </c>
      <c r="J84" s="80"/>
      <c r="K84" s="281"/>
      <c r="L84" s="796"/>
      <c r="M84" s="816"/>
      <c r="N84" s="83"/>
      <c r="O84" s="123">
        <f>VLOOKUP(D84,Poeng!$B$10:$BC$252,Poeng!AF$1,FALSE)</f>
        <v>0</v>
      </c>
      <c r="P84" s="123" t="str">
        <f>VLOOKUP(D84,Poeng!$B$10:$BH$252,Poeng!BH$1,FALSE)</f>
        <v>N/A</v>
      </c>
      <c r="Q84" s="744"/>
      <c r="R84" s="745"/>
      <c r="S84" s="738"/>
      <c r="T84" s="319"/>
      <c r="U84" s="83"/>
      <c r="V84" s="123">
        <f>VLOOKUP(D84,Poeng!$B$10:$BC$252,Poeng!AG$1,FALSE)</f>
        <v>0</v>
      </c>
      <c r="W84" s="123" t="str">
        <f>VLOOKUP(D84,Poeng!$B$10:$BK$252,Poeng!BK$1,FALSE)</f>
        <v>N/A</v>
      </c>
      <c r="X84" s="81"/>
      <c r="Y84" s="80"/>
      <c r="Z84" s="738"/>
      <c r="AA84" s="133"/>
      <c r="AB84" s="640"/>
      <c r="AC84" s="107">
        <f t="shared" si="12"/>
        <v>1</v>
      </c>
      <c r="AD84" s="3" t="e">
        <f>VLOOKUP(K84,'Assessment Details'!$O$45:$P$48,2,FALSE)</f>
        <v>#N/A</v>
      </c>
      <c r="AE84" s="3" t="e">
        <f>VLOOKUP(R84,'Assessment Details'!$O$45:$P$48,2,FALSE)</f>
        <v>#N/A</v>
      </c>
      <c r="AF84" s="3" t="e">
        <f>VLOOKUP(Y84,'Assessment Details'!$O$45:$P$48,2,FALSE)</f>
        <v>#N/A</v>
      </c>
      <c r="AI84" s="70"/>
      <c r="AJ84" s="671"/>
      <c r="AK84" s="648"/>
      <c r="AL84" s="648"/>
      <c r="AM84" s="70"/>
      <c r="AN84" s="70"/>
      <c r="AO84" s="70"/>
      <c r="AP84" s="70"/>
      <c r="AS84" s="23"/>
      <c r="AT84" s="23"/>
      <c r="AU84" s="23"/>
      <c r="AV84" s="23"/>
      <c r="AW84" s="23"/>
      <c r="AX84" s="23"/>
      <c r="AZ84" s="640"/>
    </row>
    <row r="85" spans="1:52" x14ac:dyDescent="0.25">
      <c r="A85" s="1077">
        <v>76</v>
      </c>
      <c r="B85" s="1078" t="s">
        <v>67</v>
      </c>
      <c r="C85" s="1083" t="str">
        <f>C83</f>
        <v>Ene 06</v>
      </c>
      <c r="D85" s="824" t="s">
        <v>757</v>
      </c>
      <c r="E85" s="861" t="str">
        <f>VLOOKUP(D85,Poeng!$B$10:$R$252,Poeng!E$1,FALSE)</f>
        <v>Energy efficient features: lifts</v>
      </c>
      <c r="F85" s="122">
        <f>VLOOKUP(D85,Poeng!$B$10:$AB$252,Poeng!AB$1,FALSE)</f>
        <v>1</v>
      </c>
      <c r="G85" s="43"/>
      <c r="H85" s="123">
        <f>VLOOKUP(D85,Poeng!$B$10:$AE$252,Poeng!AE$1,FALSE)</f>
        <v>0</v>
      </c>
      <c r="I85" s="124" t="str">
        <f>VLOOKUP(D85,Poeng!$B$10:$BE$252,Poeng!BE$1,FALSE)</f>
        <v>N/A</v>
      </c>
      <c r="J85" s="80"/>
      <c r="K85" s="281"/>
      <c r="L85" s="796"/>
      <c r="M85" s="816"/>
      <c r="N85" s="83"/>
      <c r="O85" s="123">
        <f>VLOOKUP(D85,Poeng!$B$10:$BC$252,Poeng!AF$1,FALSE)</f>
        <v>0</v>
      </c>
      <c r="P85" s="123" t="str">
        <f>VLOOKUP(D85,Poeng!$B$10:$BH$252,Poeng!BH$1,FALSE)</f>
        <v>N/A</v>
      </c>
      <c r="Q85" s="744"/>
      <c r="R85" s="745"/>
      <c r="S85" s="738"/>
      <c r="T85" s="319"/>
      <c r="U85" s="83"/>
      <c r="V85" s="123">
        <f>VLOOKUP(D85,Poeng!$B$10:$BC$252,Poeng!AG$1,FALSE)</f>
        <v>0</v>
      </c>
      <c r="W85" s="123" t="str">
        <f>VLOOKUP(D85,Poeng!$B$10:$BK$252,Poeng!BK$1,FALSE)</f>
        <v>N/A</v>
      </c>
      <c r="X85" s="81"/>
      <c r="Y85" s="80"/>
      <c r="Z85" s="738"/>
      <c r="AA85" s="133"/>
      <c r="AB85" s="640"/>
      <c r="AC85" s="107">
        <f t="shared" si="12"/>
        <v>1</v>
      </c>
      <c r="AD85" s="3" t="e">
        <f>VLOOKUP(K85,'Assessment Details'!$O$45:$P$48,2,FALSE)</f>
        <v>#N/A</v>
      </c>
      <c r="AE85" s="3" t="e">
        <f>VLOOKUP(R85,'Assessment Details'!$O$45:$P$48,2,FALSE)</f>
        <v>#N/A</v>
      </c>
      <c r="AF85" s="3" t="e">
        <f>VLOOKUP(Y85,'Assessment Details'!$O$45:$P$48,2,FALSE)</f>
        <v>#N/A</v>
      </c>
      <c r="AI85" s="70"/>
      <c r="AJ85" s="671"/>
      <c r="AK85" s="648"/>
      <c r="AL85" s="648"/>
      <c r="AM85" s="70"/>
      <c r="AN85" s="70"/>
      <c r="AO85" s="70"/>
      <c r="AP85" s="70"/>
      <c r="AS85" s="23"/>
      <c r="AT85" s="23"/>
      <c r="AU85" s="23"/>
      <c r="AV85" s="23"/>
      <c r="AW85" s="23"/>
      <c r="AX85" s="23"/>
      <c r="AZ85" s="640"/>
    </row>
    <row r="86" spans="1:52" x14ac:dyDescent="0.25">
      <c r="A86" s="1077">
        <v>77</v>
      </c>
      <c r="B86" s="1078" t="s">
        <v>67</v>
      </c>
      <c r="C86" s="1083" t="str">
        <f>C84</f>
        <v>Ene 06</v>
      </c>
      <c r="D86" s="824" t="s">
        <v>919</v>
      </c>
      <c r="E86" s="861" t="str">
        <f>VLOOKUP(D86,Poeng!$B$10:$R$252,Poeng!E$1,FALSE)</f>
        <v>Energy efficient features: escalators or moving walks</v>
      </c>
      <c r="F86" s="122">
        <f>VLOOKUP(D86,Poeng!$B$10:$AB$252,Poeng!AB$1,FALSE)</f>
        <v>1</v>
      </c>
      <c r="G86" s="43"/>
      <c r="H86" s="123">
        <f>VLOOKUP(D86,Poeng!$B$10:$AE$252,Poeng!AE$1,FALSE)</f>
        <v>0</v>
      </c>
      <c r="I86" s="124" t="str">
        <f>VLOOKUP(D86,Poeng!$B$10:$BE$252,Poeng!BE$1,FALSE)</f>
        <v>N/A</v>
      </c>
      <c r="J86" s="80"/>
      <c r="K86" s="281"/>
      <c r="L86" s="796"/>
      <c r="M86" s="816"/>
      <c r="N86" s="83"/>
      <c r="O86" s="123">
        <f>VLOOKUP(D86,Poeng!$B$10:$BC$252,Poeng!AF$1,FALSE)</f>
        <v>0</v>
      </c>
      <c r="P86" s="123" t="str">
        <f>VLOOKUP(D86,Poeng!$B$10:$BH$252,Poeng!BH$1,FALSE)</f>
        <v>N/A</v>
      </c>
      <c r="Q86" s="744"/>
      <c r="R86" s="745"/>
      <c r="S86" s="738"/>
      <c r="T86" s="319"/>
      <c r="U86" s="83"/>
      <c r="V86" s="123">
        <f>VLOOKUP(D86,Poeng!$B$10:$BC$252,Poeng!AG$1,FALSE)</f>
        <v>0</v>
      </c>
      <c r="W86" s="123" t="str">
        <f>VLOOKUP(D86,Poeng!$B$10:$BK$252,Poeng!BK$1,FALSE)</f>
        <v>N/A</v>
      </c>
      <c r="X86" s="81"/>
      <c r="Y86" s="80"/>
      <c r="Z86" s="738"/>
      <c r="AA86" s="133"/>
      <c r="AB86" s="640"/>
      <c r="AC86" s="107">
        <f t="shared" si="12"/>
        <v>1</v>
      </c>
      <c r="AD86" s="3" t="e">
        <f>VLOOKUP(K86,'Assessment Details'!$O$45:$P$48,2,FALSE)</f>
        <v>#N/A</v>
      </c>
      <c r="AE86" s="3" t="e">
        <f>VLOOKUP(R86,'Assessment Details'!$O$45:$P$48,2,FALSE)</f>
        <v>#N/A</v>
      </c>
      <c r="AF86" s="3" t="e">
        <f>VLOOKUP(Y86,'Assessment Details'!$O$45:$P$48,2,FALSE)</f>
        <v>#N/A</v>
      </c>
      <c r="AI86" s="70"/>
      <c r="AJ86" s="671"/>
      <c r="AK86" s="648"/>
      <c r="AL86" s="648"/>
      <c r="AM86" s="70"/>
      <c r="AN86" s="70"/>
      <c r="AO86" s="70"/>
      <c r="AP86" s="70"/>
      <c r="AS86" s="23"/>
      <c r="AT86" s="23"/>
      <c r="AU86" s="23"/>
      <c r="AV86" s="23"/>
      <c r="AW86" s="23"/>
      <c r="AX86" s="23"/>
      <c r="AZ86" s="640"/>
    </row>
    <row r="87" spans="1:52" x14ac:dyDescent="0.25">
      <c r="A87" s="1077">
        <v>78</v>
      </c>
      <c r="B87" s="1078" t="s">
        <v>67</v>
      </c>
      <c r="C87" s="924" t="s">
        <v>142</v>
      </c>
      <c r="D87" s="824" t="s">
        <v>142</v>
      </c>
      <c r="E87" s="860" t="str">
        <f>VLOOKUP(D87,Poeng!$B$10:$R$252,Poeng!E$1,FALSE)</f>
        <v>Ene 07 Energy Efficient Laboratory Systems</v>
      </c>
      <c r="F87" s="865">
        <f>VLOOKUP(D87,Poeng!$B$10:$AB$252,Poeng!AB$1,FALSE)</f>
        <v>5</v>
      </c>
      <c r="G87" s="1001"/>
      <c r="H87" s="866" t="str">
        <f>VLOOKUP(D87,Poeng!$B$10:$AI$252,Poeng!AI$1,FALSE)&amp;" c. "&amp;ROUND(VLOOKUP(D87,Poeng!$B$10:$AE$252,Poeng!AE$1,FALSE)*100,1)&amp;" %"</f>
        <v>0 c. 0 %</v>
      </c>
      <c r="I87" s="924" t="str">
        <f>VLOOKUP(D87,Poeng!$B$10:$BE$252,Poeng!BE$1,FALSE)</f>
        <v>N/A</v>
      </c>
      <c r="J87" s="80"/>
      <c r="K87" s="281"/>
      <c r="L87" s="796"/>
      <c r="M87" s="816"/>
      <c r="N87" s="1001"/>
      <c r="O87" s="877" t="str">
        <f>VLOOKUP(D87,Poeng!$B$10:$BC$252,Poeng!AJ$1,FALSE)&amp;" c. "&amp;ROUND(VLOOKUP(D87,Poeng!$B$10:$BC$252,Poeng!AF$1,FALSE)*100,1)&amp;" %"</f>
        <v>0 c. 0 %</v>
      </c>
      <c r="P87" s="123" t="str">
        <f>VLOOKUP(D87,Poeng!$B$10:$BH$252,Poeng!BH$1,FALSE)</f>
        <v>N/A</v>
      </c>
      <c r="Q87" s="744"/>
      <c r="R87" s="745"/>
      <c r="S87" s="738"/>
      <c r="T87" s="319"/>
      <c r="U87" s="1001"/>
      <c r="V87" s="877" t="str">
        <f>VLOOKUP(D87,Poeng!$B$10:$BC$252,Poeng!AK$1,FALSE)&amp;" c. "&amp;ROUND(VLOOKUP(D87,Poeng!$B$10:$BC$252,Poeng!AG$1,FALSE)*100,1)&amp;" %"</f>
        <v>0 c. 0 %</v>
      </c>
      <c r="W87" s="123" t="str">
        <f>VLOOKUP(D87,Poeng!$B$10:$BK$252,Poeng!BK$1,FALSE)</f>
        <v>N/A</v>
      </c>
      <c r="X87" s="81"/>
      <c r="Y87" s="80"/>
      <c r="Z87" s="738"/>
      <c r="AA87" s="133"/>
      <c r="AB87" s="640" t="s">
        <v>14</v>
      </c>
      <c r="AC87" s="107">
        <f t="shared" si="12"/>
        <v>1</v>
      </c>
      <c r="AD87" s="3" t="e">
        <f>VLOOKUP(K87,'Assessment Details'!$O$45:$P$48,2,FALSE)</f>
        <v>#N/A</v>
      </c>
      <c r="AE87" s="3" t="e">
        <f>VLOOKUP(R87,'Assessment Details'!$O$45:$P$48,2,FALSE)</f>
        <v>#N/A</v>
      </c>
      <c r="AF87" s="3" t="e">
        <f>VLOOKUP(Y87,'Assessment Details'!$O$45:$P$48,2,FALSE)</f>
        <v>#N/A</v>
      </c>
      <c r="AI87" s="70"/>
      <c r="AJ87" s="671" t="s">
        <v>133</v>
      </c>
      <c r="AK87" s="70"/>
      <c r="AL87" s="70"/>
      <c r="AM87" s="70"/>
      <c r="AN87" s="70"/>
      <c r="AO87" s="70"/>
      <c r="AP87" s="70"/>
      <c r="AS87" s="23" t="str">
        <f t="shared" si="3"/>
        <v>N/A</v>
      </c>
      <c r="AT87" s="23" t="str">
        <f t="shared" si="1"/>
        <v>N/A</v>
      </c>
      <c r="AU87" s="23" t="str">
        <f t="shared" si="2"/>
        <v>N/A</v>
      </c>
      <c r="AV87" s="23"/>
      <c r="AW87" s="23"/>
      <c r="AX87" s="23"/>
      <c r="AZ87" s="640"/>
    </row>
    <row r="88" spans="1:52" x14ac:dyDescent="0.25">
      <c r="A88" s="1077">
        <v>79</v>
      </c>
      <c r="B88" s="1078" t="s">
        <v>67</v>
      </c>
      <c r="C88" s="1083" t="str">
        <f t="shared" si="7"/>
        <v>Ene 07</v>
      </c>
      <c r="D88" s="824" t="s">
        <v>758</v>
      </c>
      <c r="E88" s="861" t="str">
        <f>VLOOKUP(D88,Poeng!$B$10:$R$252,Poeng!E$1,FALSE)</f>
        <v xml:space="preserve">Design specification </v>
      </c>
      <c r="F88" s="122">
        <f>VLOOKUP(D88,Poeng!$B$10:$AB$252,Poeng!AB$1,FALSE)</f>
        <v>1</v>
      </c>
      <c r="G88" s="43"/>
      <c r="H88" s="123">
        <f>VLOOKUP(D88,Poeng!$B$10:$AE$252,Poeng!AE$1,FALSE)</f>
        <v>0</v>
      </c>
      <c r="I88" s="124" t="str">
        <f>VLOOKUP(D88,Poeng!$B$10:$BE$252,Poeng!BE$1,FALSE)</f>
        <v>Unclassified</v>
      </c>
      <c r="J88" s="80"/>
      <c r="K88" s="281"/>
      <c r="L88" s="796"/>
      <c r="M88" s="816"/>
      <c r="N88" s="83"/>
      <c r="O88" s="123">
        <f>VLOOKUP(D88,Poeng!$B$10:$BC$252,Poeng!AF$1,FALSE)</f>
        <v>0</v>
      </c>
      <c r="P88" s="123" t="str">
        <f>VLOOKUP(D88,Poeng!$B$10:$BH$252,Poeng!BH$1,FALSE)</f>
        <v>Unclassified</v>
      </c>
      <c r="Q88" s="744"/>
      <c r="R88" s="745"/>
      <c r="S88" s="738"/>
      <c r="T88" s="319"/>
      <c r="U88" s="83"/>
      <c r="V88" s="123">
        <f>VLOOKUP(D88,Poeng!$B$10:$BC$252,Poeng!AG$1,FALSE)</f>
        <v>0</v>
      </c>
      <c r="W88" s="123" t="str">
        <f>VLOOKUP(D88,Poeng!$B$10:$BK$252,Poeng!BK$1,FALSE)</f>
        <v>Unclassified</v>
      </c>
      <c r="X88" s="81"/>
      <c r="Y88" s="80"/>
      <c r="Z88" s="738"/>
      <c r="AA88" s="133"/>
      <c r="AB88" s="640"/>
      <c r="AC88" s="107">
        <f t="shared" si="12"/>
        <v>1</v>
      </c>
      <c r="AD88" s="3" t="e">
        <f>VLOOKUP(K88,'Assessment Details'!$O$45:$P$48,2,FALSE)</f>
        <v>#N/A</v>
      </c>
      <c r="AE88" s="3" t="e">
        <f>VLOOKUP(R88,'Assessment Details'!$O$45:$P$48,2,FALSE)</f>
        <v>#N/A</v>
      </c>
      <c r="AF88" s="3" t="e">
        <f>VLOOKUP(Y88,'Assessment Details'!$O$45:$P$48,2,FALSE)</f>
        <v>#N/A</v>
      </c>
      <c r="AI88" s="70"/>
      <c r="AJ88" s="671"/>
      <c r="AK88" s="70"/>
      <c r="AL88" s="70"/>
      <c r="AM88" s="70"/>
      <c r="AN88" s="70"/>
      <c r="AO88" s="70"/>
      <c r="AP88" s="70"/>
      <c r="AS88" s="23"/>
      <c r="AT88" s="23"/>
      <c r="AU88" s="23"/>
      <c r="AV88" s="23"/>
      <c r="AW88" s="23"/>
      <c r="AX88" s="23"/>
      <c r="AZ88" s="640"/>
    </row>
    <row r="89" spans="1:52" x14ac:dyDescent="0.25">
      <c r="A89" s="1077">
        <v>80</v>
      </c>
      <c r="B89" s="1078" t="s">
        <v>67</v>
      </c>
      <c r="C89" s="1083" t="str">
        <f t="shared" si="7"/>
        <v>Ene 07</v>
      </c>
      <c r="D89" s="824" t="s">
        <v>759</v>
      </c>
      <c r="E89" s="861" t="str">
        <f>VLOOKUP(D89,Poeng!$B$10:$R$252,Poeng!E$1,FALSE)</f>
        <v xml:space="preserve">Best practice energy efficient measures </v>
      </c>
      <c r="F89" s="122">
        <f>VLOOKUP(D89,Poeng!$B$10:$AB$252,Poeng!AB$1,FALSE)</f>
        <v>4</v>
      </c>
      <c r="G89" s="43"/>
      <c r="H89" s="123">
        <f>VLOOKUP(D89,Poeng!$B$10:$AE$252,Poeng!AE$1,FALSE)</f>
        <v>0</v>
      </c>
      <c r="I89" s="124" t="str">
        <f>VLOOKUP(D89,Poeng!$B$10:$BE$252,Poeng!BE$1,FALSE)</f>
        <v>N/A</v>
      </c>
      <c r="J89" s="80"/>
      <c r="K89" s="281"/>
      <c r="L89" s="796"/>
      <c r="M89" s="816"/>
      <c r="N89" s="83"/>
      <c r="O89" s="123">
        <f>VLOOKUP(D89,Poeng!$B$10:$BC$252,Poeng!AF$1,FALSE)</f>
        <v>0</v>
      </c>
      <c r="P89" s="123" t="str">
        <f>VLOOKUP(D89,Poeng!$B$10:$BH$252,Poeng!BH$1,FALSE)</f>
        <v>N/A</v>
      </c>
      <c r="Q89" s="744"/>
      <c r="R89" s="745"/>
      <c r="S89" s="738"/>
      <c r="T89" s="319"/>
      <c r="U89" s="83"/>
      <c r="V89" s="123">
        <f>VLOOKUP(D89,Poeng!$B$10:$BC$252,Poeng!AG$1,FALSE)</f>
        <v>0</v>
      </c>
      <c r="W89" s="123" t="str">
        <f>VLOOKUP(D89,Poeng!$B$10:$BK$252,Poeng!BK$1,FALSE)</f>
        <v>N/A</v>
      </c>
      <c r="X89" s="81"/>
      <c r="Y89" s="80"/>
      <c r="Z89" s="738"/>
      <c r="AA89" s="133"/>
      <c r="AB89" s="640"/>
      <c r="AC89" s="107">
        <f t="shared" si="12"/>
        <v>1</v>
      </c>
      <c r="AD89" s="3" t="e">
        <f>VLOOKUP(K89,'Assessment Details'!$O$45:$P$48,2,FALSE)</f>
        <v>#N/A</v>
      </c>
      <c r="AE89" s="3" t="e">
        <f>VLOOKUP(R89,'Assessment Details'!$O$45:$P$48,2,FALSE)</f>
        <v>#N/A</v>
      </c>
      <c r="AF89" s="3" t="e">
        <f>VLOOKUP(Y89,'Assessment Details'!$O$45:$P$48,2,FALSE)</f>
        <v>#N/A</v>
      </c>
      <c r="AI89" s="70"/>
      <c r="AJ89" s="671"/>
      <c r="AK89" s="70"/>
      <c r="AL89" s="70"/>
      <c r="AM89" s="70"/>
      <c r="AN89" s="70"/>
      <c r="AO89" s="70"/>
      <c r="AP89" s="70"/>
      <c r="AS89" s="23"/>
      <c r="AT89" s="23"/>
      <c r="AU89" s="23"/>
      <c r="AV89" s="23"/>
      <c r="AW89" s="23"/>
      <c r="AX89" s="23"/>
      <c r="AZ89" s="640"/>
    </row>
    <row r="90" spans="1:52" x14ac:dyDescent="0.25">
      <c r="A90" s="1077">
        <v>81</v>
      </c>
      <c r="B90" s="1078" t="s">
        <v>67</v>
      </c>
      <c r="C90" s="924" t="s">
        <v>143</v>
      </c>
      <c r="D90" s="824" t="s">
        <v>143</v>
      </c>
      <c r="E90" s="860" t="str">
        <f>VLOOKUP(D90,Poeng!$B$10:$R$252,Poeng!E$1,FALSE)</f>
        <v>Ene 08 Energy efficient equipment</v>
      </c>
      <c r="F90" s="865">
        <f>VLOOKUP(D90,Poeng!$B$10:$AB$252,Poeng!AB$1,FALSE)</f>
        <v>2</v>
      </c>
      <c r="G90" s="1001"/>
      <c r="H90" s="866" t="str">
        <f>VLOOKUP(D90,Poeng!$B$10:$AI$252,Poeng!AI$1,FALSE)&amp;" c. "&amp;ROUND(VLOOKUP(D90,Poeng!$B$10:$AE$252,Poeng!AE$1,FALSE)*100,1)&amp;" %"</f>
        <v>0 c. 0 %</v>
      </c>
      <c r="I90" s="924" t="str">
        <f>VLOOKUP(D90,Poeng!$B$10:$BE$252,Poeng!BE$1,FALSE)</f>
        <v>N/A</v>
      </c>
      <c r="J90" s="80"/>
      <c r="K90" s="281"/>
      <c r="L90" s="796"/>
      <c r="M90" s="816"/>
      <c r="N90" s="1001"/>
      <c r="O90" s="877" t="str">
        <f>VLOOKUP(D90,Poeng!$B$10:$BC$252,Poeng!AJ$1,FALSE)&amp;" c. "&amp;ROUND(VLOOKUP(D90,Poeng!$B$10:$BC$252,Poeng!AF$1,FALSE)*100,1)&amp;" %"</f>
        <v>0 c. 0 %</v>
      </c>
      <c r="P90" s="123" t="str">
        <f>VLOOKUP(D90,Poeng!$B$10:$BH$252,Poeng!BH$1,FALSE)</f>
        <v>N/A</v>
      </c>
      <c r="Q90" s="744"/>
      <c r="R90" s="745"/>
      <c r="S90" s="738"/>
      <c r="T90" s="319"/>
      <c r="U90" s="1001"/>
      <c r="V90" s="877" t="str">
        <f>VLOOKUP(D90,Poeng!$B$10:$BC$252,Poeng!AK$1,FALSE)&amp;" c. "&amp;ROUND(VLOOKUP(D90,Poeng!$B$10:$BC$252,Poeng!AG$1,FALSE)*100,1)&amp;" %"</f>
        <v>0 c. 0 %</v>
      </c>
      <c r="W90" s="123" t="str">
        <f>VLOOKUP(D90,Poeng!$B$10:$BK$252,Poeng!BK$1,FALSE)</f>
        <v>N/A</v>
      </c>
      <c r="X90" s="81"/>
      <c r="Y90" s="80"/>
      <c r="Z90" s="738"/>
      <c r="AA90" s="133"/>
      <c r="AB90" s="640" t="s">
        <v>13</v>
      </c>
      <c r="AC90" s="107">
        <f t="shared" si="12"/>
        <v>1</v>
      </c>
      <c r="AD90" s="3" t="e">
        <f>VLOOKUP(K90,'Assessment Details'!$O$45:$P$48,2,FALSE)</f>
        <v>#N/A</v>
      </c>
      <c r="AE90" s="3" t="e">
        <f>VLOOKUP(R90,'Assessment Details'!$O$45:$P$48,2,FALSE)</f>
        <v>#N/A</v>
      </c>
      <c r="AF90" s="3" t="e">
        <f>VLOOKUP(Y90,'Assessment Details'!$O$45:$P$48,2,FALSE)</f>
        <v>#N/A</v>
      </c>
      <c r="AI90" s="70" t="str">
        <f>ais_ja</f>
        <v>Ja</v>
      </c>
      <c r="AJ90" s="671" t="s">
        <v>134</v>
      </c>
      <c r="AK90" s="648" t="s">
        <v>407</v>
      </c>
      <c r="AL90" s="648" t="s">
        <v>411</v>
      </c>
      <c r="AM90" s="648" t="s">
        <v>409</v>
      </c>
      <c r="AN90" s="70"/>
      <c r="AO90" s="70"/>
      <c r="AP90" s="70"/>
      <c r="AR90" s="1" t="s">
        <v>13</v>
      </c>
      <c r="AS90" s="23" t="str">
        <f t="shared" si="3"/>
        <v>N/A</v>
      </c>
      <c r="AT90" s="23" t="str">
        <f t="shared" si="1"/>
        <v>N/A</v>
      </c>
      <c r="AU90" s="23" t="str">
        <f t="shared" si="2"/>
        <v>N/A</v>
      </c>
      <c r="AV90" s="23"/>
      <c r="AW90" s="23"/>
      <c r="AX90" s="23"/>
      <c r="AZ90" s="640"/>
    </row>
    <row r="91" spans="1:52" x14ac:dyDescent="0.25">
      <c r="A91" s="1077">
        <v>82</v>
      </c>
      <c r="B91" s="1078" t="s">
        <v>67</v>
      </c>
      <c r="C91" s="1088" t="str">
        <f t="shared" si="7"/>
        <v>Ene 08</v>
      </c>
      <c r="D91" s="824" t="s">
        <v>760</v>
      </c>
      <c r="E91" s="1072" t="str">
        <f>VLOOKUP(D91,Poeng!$B$10:$R$252,Poeng!E$1,FALSE)</f>
        <v xml:space="preserve">Reduction of the building's significant unregulated energy consumption </v>
      </c>
      <c r="F91" s="122">
        <f>VLOOKUP(D91,Poeng!$B$10:$AB$252,Poeng!AB$1,FALSE)</f>
        <v>2</v>
      </c>
      <c r="G91" s="43"/>
      <c r="H91" s="123">
        <f>VLOOKUP(D91,Poeng!$B$10:$AE$252,Poeng!AE$1,FALSE)</f>
        <v>0</v>
      </c>
      <c r="I91" s="124" t="str">
        <f>VLOOKUP(D91,Poeng!$B$10:$BE$252,Poeng!BE$1,FALSE)</f>
        <v>N/A</v>
      </c>
      <c r="J91" s="80"/>
      <c r="K91" s="281"/>
      <c r="L91" s="796"/>
      <c r="M91" s="816"/>
      <c r="N91" s="83"/>
      <c r="O91" s="123">
        <f>VLOOKUP(D91,Poeng!$B$10:$BC$252,Poeng!AF$1,FALSE)</f>
        <v>0</v>
      </c>
      <c r="P91" s="123" t="str">
        <f>VLOOKUP(D91,Poeng!$B$10:$BH$252,Poeng!BH$1,FALSE)</f>
        <v>N/A</v>
      </c>
      <c r="Q91" s="744"/>
      <c r="R91" s="745"/>
      <c r="S91" s="738"/>
      <c r="T91" s="319"/>
      <c r="U91" s="83"/>
      <c r="V91" s="123">
        <f>VLOOKUP(D91,Poeng!$B$10:$BC$252,Poeng!AG$1,FALSE)</f>
        <v>0</v>
      </c>
      <c r="W91" s="123" t="str">
        <f>VLOOKUP(D91,Poeng!$B$10:$BK$252,Poeng!BK$1,FALSE)</f>
        <v>N/A</v>
      </c>
      <c r="X91" s="81"/>
      <c r="Y91" s="80"/>
      <c r="Z91" s="738"/>
      <c r="AA91" s="133"/>
      <c r="AB91" s="714"/>
      <c r="AC91" s="107">
        <f t="shared" si="12"/>
        <v>1</v>
      </c>
      <c r="AD91" s="3" t="e">
        <f>VLOOKUP(K91,'Assessment Details'!$O$45:$P$48,2,FALSE)</f>
        <v>#N/A</v>
      </c>
      <c r="AE91" s="3" t="e">
        <f>VLOOKUP(R91,'Assessment Details'!$O$45:$P$48,2,FALSE)</f>
        <v>#N/A</v>
      </c>
      <c r="AF91" s="3" t="e">
        <f>VLOOKUP(Y91,'Assessment Details'!$O$45:$P$48,2,FALSE)</f>
        <v>#N/A</v>
      </c>
      <c r="AI91" s="70"/>
      <c r="AJ91" s="671"/>
      <c r="AK91" s="648"/>
      <c r="AL91" s="648"/>
      <c r="AM91" s="648"/>
      <c r="AN91" s="70"/>
      <c r="AO91" s="70"/>
      <c r="AP91" s="70"/>
      <c r="AS91" s="23"/>
      <c r="AT91" s="23"/>
      <c r="AU91" s="23"/>
      <c r="AV91" s="23"/>
      <c r="AW91" s="23"/>
      <c r="AX91" s="23"/>
      <c r="AZ91" s="714"/>
    </row>
    <row r="92" spans="1:52" ht="15.75" thickBot="1" x14ac:dyDescent="0.3">
      <c r="A92" s="1077">
        <v>83</v>
      </c>
      <c r="B92" s="1078" t="s">
        <v>67</v>
      </c>
      <c r="C92" s="1084"/>
      <c r="D92" s="824" t="s">
        <v>885</v>
      </c>
      <c r="E92" s="320" t="s">
        <v>106</v>
      </c>
      <c r="F92" s="125">
        <f>Ene_Credits</f>
        <v>27</v>
      </c>
      <c r="G92" s="131"/>
      <c r="H92" s="126">
        <f>Ene_cont_tot</f>
        <v>0</v>
      </c>
      <c r="I92" s="867" t="str">
        <f>"Credits achieved: "&amp;Ene_tot_user</f>
        <v>Credits achieved: 0</v>
      </c>
      <c r="J92" s="134"/>
      <c r="K92" s="282"/>
      <c r="L92" s="746"/>
      <c r="M92" s="816"/>
      <c r="N92" s="383"/>
      <c r="O92" s="126">
        <f>VLOOKUP(D92,Poeng!$B$10:$BC$252,Poeng!AF$1,FALSE)</f>
        <v>0</v>
      </c>
      <c r="P92" s="867" t="str">
        <f>"Credits achieved: "&amp;Ene_d_user</f>
        <v>Credits achieved: 0</v>
      </c>
      <c r="Q92" s="747"/>
      <c r="R92" s="748"/>
      <c r="S92" s="746"/>
      <c r="T92" s="319"/>
      <c r="U92" s="383"/>
      <c r="V92" s="126">
        <f>VLOOKUP(D92,Poeng!$B$10:$BC$252,Poeng!AG$1,FALSE)</f>
        <v>0</v>
      </c>
      <c r="W92" s="867" t="str">
        <f>"Credits achieved: "&amp;Ene_c_user</f>
        <v>Credits achieved: 0</v>
      </c>
      <c r="X92" s="382"/>
      <c r="Y92" s="136"/>
      <c r="Z92" s="746"/>
      <c r="AA92" s="133"/>
      <c r="AB92" s="641"/>
      <c r="AC92" s="107">
        <f t="shared" si="12"/>
        <v>1</v>
      </c>
      <c r="AD92" s="276">
        <v>0</v>
      </c>
      <c r="AE92" s="276">
        <v>0</v>
      </c>
      <c r="AF92" s="276">
        <v>0</v>
      </c>
      <c r="AI92" s="70"/>
      <c r="AJ92" s="671" t="s">
        <v>106</v>
      </c>
      <c r="AK92" s="70"/>
      <c r="AL92" s="70"/>
      <c r="AM92" s="70"/>
      <c r="AN92" s="70"/>
      <c r="AO92" s="70"/>
      <c r="AP92" s="70"/>
      <c r="AS92" s="23" t="str">
        <f t="shared" si="3"/>
        <v>N/A</v>
      </c>
      <c r="AT92" s="23" t="str">
        <f t="shared" si="1"/>
        <v>N/A</v>
      </c>
      <c r="AU92" s="23" t="str">
        <f t="shared" si="2"/>
        <v>N/A</v>
      </c>
      <c r="AV92" s="23"/>
      <c r="AW92" s="23"/>
      <c r="AX92" s="23"/>
      <c r="AZ92" s="641"/>
    </row>
    <row r="93" spans="1:52" x14ac:dyDescent="0.25">
      <c r="A93" s="1077">
        <v>84</v>
      </c>
      <c r="B93" s="1078" t="s">
        <v>67</v>
      </c>
      <c r="C93" s="322"/>
      <c r="D93" s="824"/>
      <c r="E93" s="321"/>
      <c r="F93" s="322"/>
      <c r="G93" s="323"/>
      <c r="H93" s="322"/>
      <c r="I93" s="322"/>
      <c r="J93" s="324"/>
      <c r="K93" s="323"/>
      <c r="L93" s="749"/>
      <c r="M93" s="815"/>
      <c r="N93" s="325"/>
      <c r="O93" s="325"/>
      <c r="P93" s="749"/>
      <c r="Q93" s="749"/>
      <c r="R93" s="750"/>
      <c r="S93" s="1095"/>
      <c r="T93" s="326"/>
      <c r="U93" s="325"/>
      <c r="V93" s="325"/>
      <c r="W93" s="749"/>
      <c r="X93" s="324"/>
      <c r="Y93" s="325"/>
      <c r="Z93" s="1095"/>
      <c r="AA93" s="699"/>
      <c r="AB93" s="324"/>
      <c r="AC93" s="107">
        <f t="shared" si="12"/>
        <v>1</v>
      </c>
      <c r="AD93" s="278">
        <v>0</v>
      </c>
      <c r="AE93" s="278">
        <v>0</v>
      </c>
      <c r="AF93" s="278">
        <v>0</v>
      </c>
      <c r="AI93" s="70"/>
      <c r="AJ93" s="671"/>
      <c r="AK93" s="70"/>
      <c r="AL93" s="70"/>
      <c r="AM93" s="70"/>
      <c r="AN93" s="70"/>
      <c r="AO93" s="70"/>
      <c r="AP93" s="70"/>
      <c r="AS93" s="23" t="str">
        <f t="shared" ref="AS93:AS161" si="13">IF($AJ$4=ais_nei,AIS_NA,IF(AK93="",AIS_NA,AK93))</f>
        <v>N/A</v>
      </c>
      <c r="AT93" s="23" t="str">
        <f t="shared" ref="AT93:AT161" si="14">IF($AJ$4=ais_nei,AIS_NA,IF(AL93="",AIS_NA,AL93))</f>
        <v>N/A</v>
      </c>
      <c r="AU93" s="23" t="str">
        <f t="shared" ref="AU93:AV161" si="15">IF($AJ$4=ais_nei,AIS_NA,IF(AM93="",AIS_NA,AM93))</f>
        <v>N/A</v>
      </c>
      <c r="AV93" s="23"/>
      <c r="AW93" s="23"/>
      <c r="AX93" s="23"/>
      <c r="AZ93" s="324"/>
    </row>
    <row r="94" spans="1:52" ht="18.75" x14ac:dyDescent="0.25">
      <c r="A94" s="1077">
        <v>85</v>
      </c>
      <c r="B94" s="1078" t="s">
        <v>68</v>
      </c>
      <c r="C94" s="1085"/>
      <c r="D94" s="824"/>
      <c r="E94" s="327" t="s">
        <v>54</v>
      </c>
      <c r="F94" s="315"/>
      <c r="G94" s="316"/>
      <c r="H94" s="336"/>
      <c r="I94" s="315"/>
      <c r="J94" s="328"/>
      <c r="K94" s="329"/>
      <c r="L94" s="752"/>
      <c r="M94" s="816"/>
      <c r="N94" s="339"/>
      <c r="O94" s="332"/>
      <c r="P94" s="742"/>
      <c r="Q94" s="753"/>
      <c r="R94" s="754"/>
      <c r="S94" s="755"/>
      <c r="T94" s="319"/>
      <c r="U94" s="339"/>
      <c r="V94" s="338"/>
      <c r="W94" s="742"/>
      <c r="X94" s="328"/>
      <c r="Y94" s="338"/>
      <c r="Z94" s="752"/>
      <c r="AA94" s="133"/>
      <c r="AB94" s="337"/>
      <c r="AC94" s="107">
        <f t="shared" si="12"/>
        <v>1</v>
      </c>
      <c r="AD94" s="275">
        <v>0</v>
      </c>
      <c r="AE94" s="275">
        <v>0</v>
      </c>
      <c r="AF94" s="275">
        <v>0</v>
      </c>
      <c r="AI94" s="70"/>
      <c r="AJ94" s="671" t="s">
        <v>54</v>
      </c>
      <c r="AK94" s="70"/>
      <c r="AL94" s="70"/>
      <c r="AM94" s="70"/>
      <c r="AN94" s="70"/>
      <c r="AO94" s="70"/>
      <c r="AP94" s="70"/>
      <c r="AS94" s="23" t="str">
        <f t="shared" si="13"/>
        <v>N/A</v>
      </c>
      <c r="AT94" s="23" t="str">
        <f t="shared" si="14"/>
        <v>N/A</v>
      </c>
      <c r="AU94" s="23" t="str">
        <f t="shared" si="15"/>
        <v>N/A</v>
      </c>
      <c r="AV94" s="23"/>
      <c r="AW94" s="23"/>
      <c r="AX94" s="23"/>
      <c r="AZ94" s="337"/>
    </row>
    <row r="95" spans="1:52" x14ac:dyDescent="0.25">
      <c r="A95" s="1077">
        <v>86</v>
      </c>
      <c r="B95" s="1078" t="s">
        <v>68</v>
      </c>
      <c r="C95" s="924" t="s">
        <v>148</v>
      </c>
      <c r="D95" s="824" t="s">
        <v>148</v>
      </c>
      <c r="E95" s="860" t="str">
        <f>VLOOKUP(D95,Poeng!$B$10:$R$252,Poeng!E$1,FALSE)</f>
        <v>Tra 01 Transport assessment and travel plan</v>
      </c>
      <c r="F95" s="865">
        <f>VLOOKUP(D95,Poeng!$B$10:$AB$252,Poeng!AB$1,FALSE)</f>
        <v>3</v>
      </c>
      <c r="G95" s="1000"/>
      <c r="H95" s="866" t="str">
        <f>VLOOKUP(D95,Poeng!$B$10:$AI$252,Poeng!AI$1,FALSE)&amp;" c. "&amp;ROUND(VLOOKUP(D95,Poeng!$B$10:$AE$252,Poeng!AE$1,FALSE)*100,1)&amp;" %"</f>
        <v>0 c. 0 %</v>
      </c>
      <c r="I95" s="923" t="str">
        <f>VLOOKUP(D95,Poeng!$B$10:$BE$252,Poeng!BE$1,FALSE)</f>
        <v>N/A</v>
      </c>
      <c r="J95" s="874"/>
      <c r="K95" s="875"/>
      <c r="L95" s="876"/>
      <c r="M95" s="815"/>
      <c r="N95" s="1001"/>
      <c r="O95" s="1094" t="str">
        <f>VLOOKUP(D95,Poeng!$B$10:$BC$252,Poeng!AJ$1,FALSE)&amp;" c. "&amp;ROUND(VLOOKUP(D95,Poeng!$B$10:$BC$252,Poeng!AF$1,FALSE)*100,1)&amp;" %"</f>
        <v>0 c. 0 %</v>
      </c>
      <c r="P95" s="123" t="str">
        <f>VLOOKUP(D95,Poeng!$B$10:$BH$252,Poeng!BH$1,FALSE)</f>
        <v>N/A</v>
      </c>
      <c r="Q95" s="744"/>
      <c r="R95" s="745"/>
      <c r="S95" s="738"/>
      <c r="T95" s="319"/>
      <c r="U95" s="1001"/>
      <c r="V95" s="877" t="str">
        <f>VLOOKUP(D95,Poeng!$B$10:$BC$252,Poeng!AK$1,FALSE)&amp;" c. "&amp;ROUND(VLOOKUP(D95,Poeng!$B$10:$BC$252,Poeng!AG$1,FALSE)*100,1)&amp;" %"</f>
        <v>0 c. 0 %</v>
      </c>
      <c r="W95" s="123" t="str">
        <f>VLOOKUP(D95,Poeng!$B$10:$BK$252,Poeng!BK$1,FALSE)</f>
        <v>N/A</v>
      </c>
      <c r="X95" s="81"/>
      <c r="Y95" s="80"/>
      <c r="Z95" s="738"/>
      <c r="AA95" s="133"/>
      <c r="AB95" s="640" t="s">
        <v>14</v>
      </c>
      <c r="AC95" s="107">
        <f t="shared" si="12"/>
        <v>1</v>
      </c>
      <c r="AD95" s="3" t="e">
        <f>VLOOKUP(K95,'Assessment Details'!$O$45:$P$48,2,FALSE)</f>
        <v>#N/A</v>
      </c>
      <c r="AE95" s="3" t="e">
        <f>VLOOKUP(R95,'Assessment Details'!$O$45:$P$48,2,FALSE)</f>
        <v>#N/A</v>
      </c>
      <c r="AF95" s="3" t="e">
        <f>VLOOKUP(Y95,'Assessment Details'!$O$45:$P$48,2,FALSE)</f>
        <v>#N/A</v>
      </c>
      <c r="AI95" s="70"/>
      <c r="AJ95" s="671" t="s">
        <v>146</v>
      </c>
      <c r="AK95" s="70"/>
      <c r="AL95" s="70"/>
      <c r="AM95" s="70"/>
      <c r="AN95" s="70"/>
      <c r="AO95" s="70"/>
      <c r="AP95" s="70"/>
      <c r="AS95" s="23" t="str">
        <f t="shared" si="13"/>
        <v>N/A</v>
      </c>
      <c r="AT95" s="23" t="str">
        <f t="shared" si="14"/>
        <v>N/A</v>
      </c>
      <c r="AU95" s="23" t="str">
        <f t="shared" si="15"/>
        <v>N/A</v>
      </c>
      <c r="AV95" s="23"/>
      <c r="AW95" s="23"/>
      <c r="AX95" s="23"/>
      <c r="AZ95" s="640"/>
    </row>
    <row r="96" spans="1:52" x14ac:dyDescent="0.25">
      <c r="A96" s="1077">
        <v>87</v>
      </c>
      <c r="B96" s="1078" t="s">
        <v>68</v>
      </c>
      <c r="C96" s="1083" t="str">
        <f t="shared" si="7"/>
        <v>Tra 01</v>
      </c>
      <c r="D96" s="19" t="s">
        <v>761</v>
      </c>
      <c r="E96" s="861" t="str">
        <f>VLOOKUP(D96,Poeng!$B$10:$R$252,Poeng!E$1,FALSE)</f>
        <v xml:space="preserve">Transport assessment and travel plan </v>
      </c>
      <c r="F96" s="122">
        <f>VLOOKUP(D96,Poeng!$B$10:$AB$252,Poeng!AB$1,FALSE)</f>
        <v>2</v>
      </c>
      <c r="G96" s="43"/>
      <c r="H96" s="123">
        <f>VLOOKUP(D96,Poeng!$B$10:$AE$252,Poeng!AE$1,FALSE)</f>
        <v>0</v>
      </c>
      <c r="I96" s="124" t="str">
        <f>VLOOKUP(D96,Poeng!$B$10:$BE$252,Poeng!BE$1,FALSE)</f>
        <v>N/A</v>
      </c>
      <c r="J96" s="80"/>
      <c r="K96" s="281"/>
      <c r="L96" s="796"/>
      <c r="M96" s="816"/>
      <c r="N96" s="83"/>
      <c r="O96" s="123">
        <f>VLOOKUP(D96,Poeng!$B$10:$BC$252,Poeng!AF$1,FALSE)</f>
        <v>0</v>
      </c>
      <c r="P96" s="123" t="str">
        <f>VLOOKUP(D96,Poeng!$B$10:$BH$252,Poeng!BH$1,FALSE)</f>
        <v>N/A</v>
      </c>
      <c r="Q96" s="744"/>
      <c r="R96" s="745"/>
      <c r="S96" s="738"/>
      <c r="T96" s="319"/>
      <c r="U96" s="83"/>
      <c r="V96" s="123">
        <f>VLOOKUP(D96,Poeng!$B$10:$BC$252,Poeng!AG$1,FALSE)</f>
        <v>0</v>
      </c>
      <c r="W96" s="123" t="str">
        <f>VLOOKUP(D96,Poeng!$B$10:$BK$252,Poeng!BK$1,FALSE)</f>
        <v>N/A</v>
      </c>
      <c r="X96" s="81"/>
      <c r="Y96" s="80"/>
      <c r="Z96" s="738"/>
      <c r="AC96" s="107">
        <f t="shared" si="12"/>
        <v>1</v>
      </c>
      <c r="AD96" s="3" t="e">
        <f>VLOOKUP(K96,'Assessment Details'!$O$45:$P$48,2,FALSE)</f>
        <v>#N/A</v>
      </c>
      <c r="AE96" s="3" t="e">
        <f>VLOOKUP(R96,'Assessment Details'!$O$45:$P$48,2,FALSE)</f>
        <v>#N/A</v>
      </c>
      <c r="AF96" s="3" t="e">
        <f>VLOOKUP(Y96,'Assessment Details'!$O$45:$P$48,2,FALSE)</f>
        <v>#N/A</v>
      </c>
    </row>
    <row r="97" spans="1:52" x14ac:dyDescent="0.25">
      <c r="A97" s="1077">
        <v>88</v>
      </c>
      <c r="B97" s="1078" t="s">
        <v>68</v>
      </c>
      <c r="C97" s="1083" t="str">
        <f t="shared" si="7"/>
        <v>Tra 01</v>
      </c>
      <c r="D97" s="19" t="s">
        <v>762</v>
      </c>
      <c r="E97" s="861" t="str">
        <f>VLOOKUP(D97,Poeng!$B$10:$R$252,Poeng!E$1,FALSE)</f>
        <v xml:space="preserve">Travel plan emissions evaluation </v>
      </c>
      <c r="F97" s="122">
        <f>VLOOKUP(D97,Poeng!$B$10:$AB$252,Poeng!AB$1,FALSE)</f>
        <v>1</v>
      </c>
      <c r="G97" s="43"/>
      <c r="H97" s="123">
        <f>VLOOKUP(D97,Poeng!$B$10:$AE$252,Poeng!AE$1,FALSE)</f>
        <v>0</v>
      </c>
      <c r="I97" s="124" t="str">
        <f>VLOOKUP(D97,Poeng!$B$10:$BE$252,Poeng!BE$1,FALSE)</f>
        <v>Very Good</v>
      </c>
      <c r="J97" s="80"/>
      <c r="K97" s="281"/>
      <c r="L97" s="796"/>
      <c r="M97" s="816"/>
      <c r="N97" s="83"/>
      <c r="O97" s="123">
        <f>VLOOKUP(D97,Poeng!$B$10:$BC$252,Poeng!AF$1,FALSE)</f>
        <v>0</v>
      </c>
      <c r="P97" s="123" t="str">
        <f>VLOOKUP(D97,Poeng!$B$10:$BH$252,Poeng!BH$1,FALSE)</f>
        <v>Very Good</v>
      </c>
      <c r="Q97" s="744"/>
      <c r="R97" s="745"/>
      <c r="S97" s="738"/>
      <c r="T97" s="319"/>
      <c r="U97" s="83"/>
      <c r="V97" s="123">
        <f>VLOOKUP(D97,Poeng!$B$10:$BC$252,Poeng!AG$1,FALSE)</f>
        <v>0</v>
      </c>
      <c r="W97" s="123" t="str">
        <f>VLOOKUP(D97,Poeng!$B$10:$BK$252,Poeng!BK$1,FALSE)</f>
        <v>Very Good</v>
      </c>
      <c r="X97" s="81"/>
      <c r="Y97" s="80"/>
      <c r="Z97" s="738"/>
      <c r="AC97" s="107">
        <f t="shared" si="12"/>
        <v>1</v>
      </c>
      <c r="AD97" s="3" t="e">
        <f>VLOOKUP(K97,'Assessment Details'!$O$45:$P$48,2,FALSE)</f>
        <v>#N/A</v>
      </c>
      <c r="AE97" s="3" t="e">
        <f>VLOOKUP(R97,'Assessment Details'!$O$45:$P$48,2,FALSE)</f>
        <v>#N/A</v>
      </c>
      <c r="AF97" s="3" t="e">
        <f>VLOOKUP(Y97,'Assessment Details'!$O$45:$P$48,2,FALSE)</f>
        <v>#N/A</v>
      </c>
    </row>
    <row r="98" spans="1:52" x14ac:dyDescent="0.25">
      <c r="A98" s="1077">
        <v>89</v>
      </c>
      <c r="B98" s="1078" t="s">
        <v>68</v>
      </c>
      <c r="C98" s="924" t="s">
        <v>149</v>
      </c>
      <c r="D98" s="824" t="s">
        <v>149</v>
      </c>
      <c r="E98" s="860" t="str">
        <f>VLOOKUP(D98,Poeng!$B$10:$R$252,Poeng!E$1,FALSE)</f>
        <v>Tra 02 Sustainable transport measures</v>
      </c>
      <c r="F98" s="865">
        <f>VLOOKUP(D98,Poeng!$B$10:$AB$252,Poeng!AB$1,FALSE)</f>
        <v>10</v>
      </c>
      <c r="G98" s="1001"/>
      <c r="H98" s="866" t="str">
        <f>VLOOKUP(D98,Poeng!$B$10:$AI$252,Poeng!AI$1,FALSE)&amp;" c. "&amp;ROUND(VLOOKUP(D98,Poeng!$B$10:$AE$252,Poeng!AE$1,FALSE)*100,1)&amp;" %"</f>
        <v>0 c. 0 %</v>
      </c>
      <c r="I98" s="924" t="str">
        <f>VLOOKUP(D98,Poeng!$B$10:$BE$252,Poeng!BE$1,FALSE)</f>
        <v>N/A</v>
      </c>
      <c r="J98" s="80"/>
      <c r="K98" s="281"/>
      <c r="L98" s="796"/>
      <c r="M98" s="816"/>
      <c r="N98" s="1001"/>
      <c r="O98" s="877" t="str">
        <f>VLOOKUP(D98,Poeng!$B$10:$BC$252,Poeng!AJ$1,FALSE)&amp;" c. "&amp;ROUND(VLOOKUP(D98,Poeng!$B$10:$BC$252,Poeng!AF$1,FALSE)*100,1)&amp;" %"</f>
        <v>0 c. 0 %</v>
      </c>
      <c r="P98" s="123" t="str">
        <f>VLOOKUP(D98,Poeng!$B$10:$BH$252,Poeng!BH$1,FALSE)</f>
        <v>N/A</v>
      </c>
      <c r="Q98" s="744"/>
      <c r="R98" s="745"/>
      <c r="S98" s="738"/>
      <c r="T98" s="319"/>
      <c r="U98" s="1001"/>
      <c r="V98" s="877" t="str">
        <f>VLOOKUP(D98,Poeng!$B$10:$BC$252,Poeng!AK$1,FALSE)&amp;" c. "&amp;ROUND(VLOOKUP(D98,Poeng!$B$10:$BC$252,Poeng!AG$1,FALSE)*100,1)&amp;" %"</f>
        <v>0 c. 0 %</v>
      </c>
      <c r="W98" s="123" t="str">
        <f>VLOOKUP(D98,Poeng!$B$10:$BK$252,Poeng!BK$1,FALSE)</f>
        <v>N/A</v>
      </c>
      <c r="X98" s="81"/>
      <c r="Y98" s="80"/>
      <c r="Z98" s="738"/>
      <c r="AA98" s="133"/>
      <c r="AB98" s="640" t="s">
        <v>14</v>
      </c>
      <c r="AC98" s="107">
        <f t="shared" si="12"/>
        <v>1</v>
      </c>
      <c r="AD98" s="3" t="e">
        <f>VLOOKUP(K98,'Assessment Details'!$O$45:$P$48,2,FALSE)</f>
        <v>#N/A</v>
      </c>
      <c r="AE98" s="3" t="e">
        <f>VLOOKUP(R98,'Assessment Details'!$O$45:$P$48,2,FALSE)</f>
        <v>#N/A</v>
      </c>
      <c r="AF98" s="3" t="e">
        <f>VLOOKUP(Y98,'Assessment Details'!$O$45:$P$48,2,FALSE)</f>
        <v>#N/A</v>
      </c>
      <c r="AI98" s="70"/>
      <c r="AJ98" s="671" t="s">
        <v>147</v>
      </c>
      <c r="AK98" s="70"/>
      <c r="AL98" s="70"/>
      <c r="AM98" s="70"/>
      <c r="AN98" s="70"/>
      <c r="AO98" s="70"/>
      <c r="AP98" s="70"/>
      <c r="AS98" s="23" t="str">
        <f t="shared" si="13"/>
        <v>N/A</v>
      </c>
      <c r="AT98" s="23" t="str">
        <f t="shared" si="14"/>
        <v>N/A</v>
      </c>
      <c r="AU98" s="23" t="str">
        <f t="shared" si="15"/>
        <v>N/A</v>
      </c>
      <c r="AV98" s="23"/>
      <c r="AW98" s="23"/>
      <c r="AX98" s="23"/>
      <c r="AZ98" s="640"/>
    </row>
    <row r="99" spans="1:52" x14ac:dyDescent="0.25">
      <c r="A99" s="1077">
        <v>90</v>
      </c>
      <c r="B99" s="1078" t="s">
        <v>68</v>
      </c>
      <c r="C99" s="1083" t="str">
        <f t="shared" si="7"/>
        <v>Tra 02</v>
      </c>
      <c r="D99" s="824" t="s">
        <v>763</v>
      </c>
      <c r="E99" s="861" t="str">
        <f>VLOOKUP(D99,Poeng!$B$10:$R$252,Poeng!E$1,FALSE)</f>
        <v>Pre-requisite: transport assessment and travel plan</v>
      </c>
      <c r="F99" s="122" t="str">
        <f>VLOOKUP(D99,Poeng!$B$10:$AB$252,Poeng!AB$1,FALSE)</f>
        <v>Yes/No</v>
      </c>
      <c r="G99" s="43"/>
      <c r="H99" s="123" t="str">
        <f>VLOOKUP(D99,Poeng!$B$10:$AE$252,Poeng!AE$1,FALSE)</f>
        <v>-</v>
      </c>
      <c r="I99" s="124" t="str">
        <f>VLOOKUP(D99,Poeng!$B$10:$BE$252,Poeng!BE$1,FALSE)</f>
        <v>N/A</v>
      </c>
      <c r="J99" s="80"/>
      <c r="K99" s="281"/>
      <c r="L99" s="796"/>
      <c r="M99" s="816"/>
      <c r="N99" s="83"/>
      <c r="O99" s="123" t="str">
        <f>VLOOKUP(D99,Poeng!$B$10:$BC$252,Poeng!AF$1,FALSE)</f>
        <v>-</v>
      </c>
      <c r="P99" s="123" t="str">
        <f>VLOOKUP(D99,Poeng!$B$10:$BH$252,Poeng!BH$1,FALSE)</f>
        <v>N/A</v>
      </c>
      <c r="Q99" s="744"/>
      <c r="R99" s="745"/>
      <c r="S99" s="738"/>
      <c r="T99" s="319"/>
      <c r="U99" s="83"/>
      <c r="V99" s="123" t="str">
        <f>VLOOKUP(D99,Poeng!$B$10:$BC$252,Poeng!AG$1,FALSE)</f>
        <v>-</v>
      </c>
      <c r="W99" s="123" t="str">
        <f>VLOOKUP(D99,Poeng!$B$10:$BK$252,Poeng!BK$1,FALSE)</f>
        <v>N/A</v>
      </c>
      <c r="X99" s="81"/>
      <c r="Y99" s="80"/>
      <c r="Z99" s="738"/>
      <c r="AA99" s="133"/>
      <c r="AB99" s="864"/>
      <c r="AC99" s="107">
        <f t="shared" si="12"/>
        <v>1</v>
      </c>
      <c r="AD99" s="3" t="e">
        <f>VLOOKUP(K99,'Assessment Details'!$O$45:$P$48,2,FALSE)</f>
        <v>#N/A</v>
      </c>
      <c r="AE99" s="3" t="e">
        <f>VLOOKUP(R99,'Assessment Details'!$O$45:$P$48,2,FALSE)</f>
        <v>#N/A</v>
      </c>
      <c r="AF99" s="3" t="e">
        <f>VLOOKUP(Y99,'Assessment Details'!$O$45:$P$48,2,FALSE)</f>
        <v>#N/A</v>
      </c>
      <c r="AI99" s="3"/>
      <c r="AJ99" s="3"/>
      <c r="AK99" s="3"/>
      <c r="AL99" s="3"/>
      <c r="AM99" s="3"/>
      <c r="AN99" s="3"/>
      <c r="AO99" s="3"/>
      <c r="AP99" s="3"/>
      <c r="AS99" s="23"/>
      <c r="AT99" s="23"/>
      <c r="AU99" s="23"/>
      <c r="AV99" s="23"/>
      <c r="AW99" s="23"/>
      <c r="AX99" s="23"/>
      <c r="AZ99" s="864"/>
    </row>
    <row r="100" spans="1:52" x14ac:dyDescent="0.25">
      <c r="A100" s="1077">
        <v>91</v>
      </c>
      <c r="B100" s="1078" t="s">
        <v>68</v>
      </c>
      <c r="C100" s="1083" t="str">
        <f t="shared" si="7"/>
        <v>Tra 02</v>
      </c>
      <c r="D100" s="824" t="s">
        <v>764</v>
      </c>
      <c r="E100" s="861" t="str">
        <f>VLOOKUP(D100,Poeng!$B$10:$R$252,Poeng!E$1,FALSE)</f>
        <v xml:space="preserve">Transport options implementation </v>
      </c>
      <c r="F100" s="122">
        <f>VLOOKUP(D100,Poeng!$B$10:$AB$252,Poeng!AB$1,FALSE)</f>
        <v>10</v>
      </c>
      <c r="G100" s="43"/>
      <c r="H100" s="123">
        <f>VLOOKUP(D100,Poeng!$B$10:$AE$252,Poeng!AE$1,FALSE)</f>
        <v>0</v>
      </c>
      <c r="I100" s="124" t="str">
        <f>VLOOKUP(D100,Poeng!$B$10:$BE$252,Poeng!BE$1,FALSE)</f>
        <v>N/A</v>
      </c>
      <c r="J100" s="80"/>
      <c r="K100" s="281"/>
      <c r="L100" s="796"/>
      <c r="M100" s="816"/>
      <c r="N100" s="83"/>
      <c r="O100" s="123">
        <f>VLOOKUP(D100,Poeng!$B$10:$BC$252,Poeng!AF$1,FALSE)</f>
        <v>0</v>
      </c>
      <c r="P100" s="123" t="str">
        <f>VLOOKUP(D100,Poeng!$B$10:$BH$252,Poeng!BH$1,FALSE)</f>
        <v>N/A</v>
      </c>
      <c r="Q100" s="744"/>
      <c r="R100" s="745"/>
      <c r="S100" s="1096"/>
      <c r="T100" s="319"/>
      <c r="U100" s="83"/>
      <c r="V100" s="123">
        <f>VLOOKUP(D100,Poeng!$B$10:$BC$252,Poeng!AG$1,FALSE)</f>
        <v>0</v>
      </c>
      <c r="W100" s="123" t="str">
        <f>VLOOKUP(D100,Poeng!$B$10:$BK$252,Poeng!BK$1,FALSE)</f>
        <v>N/A</v>
      </c>
      <c r="X100" s="81"/>
      <c r="Y100" s="80"/>
      <c r="Z100" s="1096"/>
      <c r="AA100" s="133"/>
      <c r="AB100" s="714"/>
      <c r="AC100" s="107">
        <f t="shared" si="12"/>
        <v>1</v>
      </c>
      <c r="AD100" s="3" t="e">
        <f>VLOOKUP(K100,'Assessment Details'!$O$45:$P$48,2,FALSE)</f>
        <v>#N/A</v>
      </c>
      <c r="AE100" s="3" t="e">
        <f>VLOOKUP(R100,'Assessment Details'!$O$45:$P$48,2,FALSE)</f>
        <v>#N/A</v>
      </c>
      <c r="AF100" s="3" t="e">
        <f>VLOOKUP(Y100,'Assessment Details'!$O$45:$P$48,2,FALSE)</f>
        <v>#N/A</v>
      </c>
      <c r="AI100" s="70"/>
      <c r="AJ100" s="671"/>
      <c r="AK100" s="70"/>
      <c r="AL100" s="70"/>
      <c r="AM100" s="70"/>
      <c r="AN100" s="70"/>
      <c r="AO100" s="70"/>
      <c r="AP100" s="70"/>
      <c r="AS100" s="23"/>
      <c r="AT100" s="23"/>
      <c r="AU100" s="23"/>
      <c r="AV100" s="23"/>
      <c r="AW100" s="23"/>
      <c r="AX100" s="23"/>
      <c r="AZ100" s="714"/>
    </row>
    <row r="101" spans="1:52" ht="15.75" thickBot="1" x14ac:dyDescent="0.3">
      <c r="A101" s="1077">
        <v>92</v>
      </c>
      <c r="B101" s="1078" t="s">
        <v>68</v>
      </c>
      <c r="C101" s="1084"/>
      <c r="D101" s="824" t="s">
        <v>886</v>
      </c>
      <c r="E101" s="320" t="s">
        <v>107</v>
      </c>
      <c r="F101" s="125">
        <f>Tra_Credits</f>
        <v>13</v>
      </c>
      <c r="G101" s="131"/>
      <c r="H101" s="126">
        <f>Tra_cont_tot</f>
        <v>0</v>
      </c>
      <c r="I101" s="867" t="str">
        <f>"Credits achieved: "&amp;Tra_tot_user</f>
        <v>Credits achieved: 0</v>
      </c>
      <c r="J101" s="134"/>
      <c r="K101" s="282"/>
      <c r="L101" s="746"/>
      <c r="M101" s="816"/>
      <c r="N101" s="383"/>
      <c r="O101" s="126">
        <f>VLOOKUP(D101,Poeng!$B$10:$BC$252,Poeng!AF$1,FALSE)</f>
        <v>0</v>
      </c>
      <c r="P101" s="867" t="str">
        <f>"Credits achieved: "&amp;Tra_d_user</f>
        <v>Credits achieved: 0</v>
      </c>
      <c r="Q101" s="747"/>
      <c r="R101" s="748"/>
      <c r="S101" s="746"/>
      <c r="T101" s="319"/>
      <c r="U101" s="383"/>
      <c r="V101" s="126">
        <f>VLOOKUP(D101,Poeng!$B$10:$BC$252,Poeng!AG$1,FALSE)</f>
        <v>0</v>
      </c>
      <c r="W101" s="867" t="str">
        <f>"Credits achieved: "&amp;Tra_c_user</f>
        <v>Credits achieved: 0</v>
      </c>
      <c r="X101" s="382"/>
      <c r="Y101" s="136"/>
      <c r="Z101" s="746"/>
      <c r="AA101" s="133"/>
      <c r="AB101" s="641"/>
      <c r="AC101" s="107">
        <f t="shared" si="12"/>
        <v>1</v>
      </c>
      <c r="AD101" s="276">
        <v>0</v>
      </c>
      <c r="AE101" s="276">
        <v>0</v>
      </c>
      <c r="AF101" s="276">
        <v>0</v>
      </c>
      <c r="AI101" s="70"/>
      <c r="AJ101" s="671" t="s">
        <v>107</v>
      </c>
      <c r="AK101" s="70"/>
      <c r="AL101" s="70"/>
      <c r="AM101" s="70"/>
      <c r="AN101" s="70"/>
      <c r="AO101" s="70"/>
      <c r="AP101" s="70"/>
      <c r="AS101" s="23" t="str">
        <f t="shared" si="13"/>
        <v>N/A</v>
      </c>
      <c r="AT101" s="23" t="str">
        <f t="shared" si="14"/>
        <v>N/A</v>
      </c>
      <c r="AU101" s="23" t="str">
        <f t="shared" si="15"/>
        <v>N/A</v>
      </c>
      <c r="AV101" s="23"/>
      <c r="AW101" s="23"/>
      <c r="AX101" s="23"/>
      <c r="AZ101" s="641"/>
    </row>
    <row r="102" spans="1:52" x14ac:dyDescent="0.25">
      <c r="A102" s="1077">
        <v>93</v>
      </c>
      <c r="B102" s="1078" t="s">
        <v>68</v>
      </c>
      <c r="C102" s="322"/>
      <c r="D102" s="824"/>
      <c r="E102" s="321"/>
      <c r="F102" s="322"/>
      <c r="G102" s="323"/>
      <c r="H102" s="322"/>
      <c r="I102" s="978"/>
      <c r="J102" s="324"/>
      <c r="K102" s="323"/>
      <c r="L102" s="749"/>
      <c r="M102" s="815"/>
      <c r="N102" s="325"/>
      <c r="O102" s="325"/>
      <c r="P102" s="749"/>
      <c r="Q102" s="749"/>
      <c r="R102" s="750"/>
      <c r="S102" s="1095"/>
      <c r="T102" s="326"/>
      <c r="U102" s="325"/>
      <c r="V102" s="325"/>
      <c r="W102" s="749"/>
      <c r="X102" s="324"/>
      <c r="Y102" s="325"/>
      <c r="Z102" s="1095"/>
      <c r="AA102" s="699"/>
      <c r="AB102" s="324"/>
      <c r="AC102" s="107">
        <f t="shared" si="12"/>
        <v>1</v>
      </c>
      <c r="AD102" s="278">
        <v>0</v>
      </c>
      <c r="AE102" s="278">
        <v>0</v>
      </c>
      <c r="AF102" s="278">
        <v>0</v>
      </c>
      <c r="AI102" s="70"/>
      <c r="AJ102" s="671"/>
      <c r="AK102" s="70"/>
      <c r="AL102" s="70"/>
      <c r="AM102" s="70"/>
      <c r="AN102" s="70"/>
      <c r="AO102" s="70"/>
      <c r="AP102" s="70"/>
      <c r="AS102" s="23" t="str">
        <f t="shared" si="13"/>
        <v>N/A</v>
      </c>
      <c r="AT102" s="23" t="str">
        <f t="shared" si="14"/>
        <v>N/A</v>
      </c>
      <c r="AU102" s="23" t="str">
        <f t="shared" si="15"/>
        <v>N/A</v>
      </c>
      <c r="AV102" s="23"/>
      <c r="AW102" s="23"/>
      <c r="AX102" s="23"/>
      <c r="AZ102" s="324"/>
    </row>
    <row r="103" spans="1:52" ht="18.75" x14ac:dyDescent="0.25">
      <c r="A103" s="1077">
        <v>94</v>
      </c>
      <c r="B103" s="1076" t="s">
        <v>60</v>
      </c>
      <c r="C103" s="1085"/>
      <c r="D103" s="823"/>
      <c r="E103" s="327" t="s">
        <v>55</v>
      </c>
      <c r="F103" s="315"/>
      <c r="G103" s="316"/>
      <c r="H103" s="336"/>
      <c r="I103" s="315"/>
      <c r="J103" s="328"/>
      <c r="K103" s="329"/>
      <c r="L103" s="752"/>
      <c r="M103" s="816"/>
      <c r="N103" s="339"/>
      <c r="O103" s="332"/>
      <c r="P103" s="742"/>
      <c r="Q103" s="753"/>
      <c r="R103" s="754"/>
      <c r="S103" s="755"/>
      <c r="T103" s="319"/>
      <c r="U103" s="339"/>
      <c r="V103" s="338"/>
      <c r="W103" s="742"/>
      <c r="X103" s="328"/>
      <c r="Y103" s="338"/>
      <c r="Z103" s="752"/>
      <c r="AA103" s="133"/>
      <c r="AB103" s="337"/>
      <c r="AC103" s="107">
        <f t="shared" si="12"/>
        <v>1</v>
      </c>
      <c r="AD103" s="275">
        <v>0</v>
      </c>
      <c r="AE103" s="275">
        <v>0</v>
      </c>
      <c r="AF103" s="275">
        <v>0</v>
      </c>
      <c r="AI103" s="70"/>
      <c r="AJ103" s="671" t="s">
        <v>55</v>
      </c>
      <c r="AK103" s="70"/>
      <c r="AL103" s="70"/>
      <c r="AM103" s="70"/>
      <c r="AN103" s="70"/>
      <c r="AO103" s="70"/>
      <c r="AP103" s="70"/>
      <c r="AS103" s="23" t="str">
        <f t="shared" si="13"/>
        <v>N/A</v>
      </c>
      <c r="AT103" s="23" t="str">
        <f t="shared" si="14"/>
        <v>N/A</v>
      </c>
      <c r="AU103" s="23" t="str">
        <f t="shared" si="15"/>
        <v>N/A</v>
      </c>
      <c r="AV103" s="23"/>
      <c r="AW103" s="23"/>
      <c r="AX103" s="23"/>
      <c r="AZ103" s="337"/>
    </row>
    <row r="104" spans="1:52" x14ac:dyDescent="0.25">
      <c r="A104" s="1077">
        <v>95</v>
      </c>
      <c r="B104" s="1076" t="s">
        <v>60</v>
      </c>
      <c r="C104" s="924" t="s">
        <v>170</v>
      </c>
      <c r="D104" s="824" t="s">
        <v>170</v>
      </c>
      <c r="E104" s="860" t="str">
        <f>VLOOKUP(D104,Poeng!$B$10:$R$252,Poeng!E$1,FALSE)</f>
        <v>Wat 01 Water consumption</v>
      </c>
      <c r="F104" s="865">
        <f>VLOOKUP(D104,Poeng!$B$10:$AB$252,Poeng!AB$1,FALSE)</f>
        <v>5</v>
      </c>
      <c r="G104" s="1000"/>
      <c r="H104" s="866" t="str">
        <f>VLOOKUP(D104,Poeng!$B$10:$AI$252,Poeng!AI$1,FALSE)&amp;" c. "&amp;ROUND(VLOOKUP(D104,Poeng!$B$10:$AE$252,Poeng!AE$1,FALSE)*100,1)&amp;" %"</f>
        <v>0 c. 0 %</v>
      </c>
      <c r="I104" s="923" t="str">
        <f>VLOOKUP(D104,Poeng!$B$10:$BE$252,Poeng!BE$1,FALSE)</f>
        <v>N/A</v>
      </c>
      <c r="J104" s="874"/>
      <c r="K104" s="875"/>
      <c r="L104" s="876"/>
      <c r="M104" s="815"/>
      <c r="N104" s="1001"/>
      <c r="O104" s="1094" t="str">
        <f>VLOOKUP(D104,Poeng!$B$10:$BC$252,Poeng!AJ$1,FALSE)&amp;" c. "&amp;ROUND(VLOOKUP(D104,Poeng!$B$10:$BC$252,Poeng!AF$1,FALSE)*100,1)&amp;" %"</f>
        <v>0 c. 0 %</v>
      </c>
      <c r="P104" s="123" t="str">
        <f>VLOOKUP(D104,Poeng!$B$10:$BH$252,Poeng!BH$1,FALSE)</f>
        <v>N/A</v>
      </c>
      <c r="Q104" s="744"/>
      <c r="R104" s="745"/>
      <c r="S104" s="738"/>
      <c r="T104" s="319"/>
      <c r="U104" s="1001"/>
      <c r="V104" s="877" t="str">
        <f>VLOOKUP(D104,Poeng!$B$10:$BC$252,Poeng!AK$1,FALSE)&amp;" c. "&amp;ROUND(VLOOKUP(D104,Poeng!$B$10:$BC$252,Poeng!AG$1,FALSE)*100,1)&amp;" %"</f>
        <v>0 c. 0 %</v>
      </c>
      <c r="W104" s="123" t="str">
        <f>VLOOKUP(D104,Poeng!$B$10:$BK$252,Poeng!BK$1,FALSE)</f>
        <v>N/A</v>
      </c>
      <c r="X104" s="81"/>
      <c r="Y104" s="80"/>
      <c r="Z104" s="738"/>
      <c r="AA104" s="133"/>
      <c r="AB104" s="640" t="s">
        <v>13</v>
      </c>
      <c r="AC104" s="107">
        <f t="shared" si="12"/>
        <v>1</v>
      </c>
      <c r="AD104" s="3" t="e">
        <f>VLOOKUP(K104,'Assessment Details'!$O$45:$P$48,2,FALSE)</f>
        <v>#N/A</v>
      </c>
      <c r="AE104" s="3" t="e">
        <f>VLOOKUP(R104,'Assessment Details'!$O$45:$P$48,2,FALSE)</f>
        <v>#N/A</v>
      </c>
      <c r="AF104" s="3" t="e">
        <f>VLOOKUP(Y104,'Assessment Details'!$O$45:$P$48,2,FALSE)</f>
        <v>#N/A</v>
      </c>
      <c r="AI104" s="70"/>
      <c r="AJ104" s="671" t="s">
        <v>153</v>
      </c>
      <c r="AK104" s="648" t="s">
        <v>407</v>
      </c>
      <c r="AL104" s="648" t="s">
        <v>409</v>
      </c>
      <c r="AM104" s="70"/>
      <c r="AN104" s="70"/>
      <c r="AO104" s="70"/>
      <c r="AP104" s="70"/>
      <c r="AR104" s="1" t="s">
        <v>13</v>
      </c>
      <c r="AS104" s="23" t="str">
        <f t="shared" si="13"/>
        <v>N/A</v>
      </c>
      <c r="AT104" s="23" t="str">
        <f t="shared" si="14"/>
        <v>N/A</v>
      </c>
      <c r="AU104" s="23" t="str">
        <f t="shared" si="15"/>
        <v>N/A</v>
      </c>
      <c r="AV104" s="23"/>
      <c r="AW104" s="23"/>
      <c r="AX104" s="23"/>
      <c r="AZ104" s="640"/>
    </row>
    <row r="105" spans="1:52" x14ac:dyDescent="0.25">
      <c r="A105" s="1077">
        <v>96</v>
      </c>
      <c r="B105" s="1076" t="s">
        <v>60</v>
      </c>
      <c r="C105" s="1083" t="str">
        <f>C104</f>
        <v>Wat 01</v>
      </c>
      <c r="D105" s="824" t="s">
        <v>765</v>
      </c>
      <c r="E105" s="861" t="str">
        <f>VLOOKUP(D105,Poeng!$B$10:$R$257,Poeng!E$1,FALSE)</f>
        <v>Water efficient components</v>
      </c>
      <c r="F105" s="122">
        <f>VLOOKUP(D105,Poeng!$B$10:$AB$257,Poeng!AB$1,FALSE)</f>
        <v>5</v>
      </c>
      <c r="G105" s="43"/>
      <c r="H105" s="123">
        <f>VLOOKUP(D105,Poeng!$B$10:$AE$257,Poeng!AE$1,FALSE)</f>
        <v>0</v>
      </c>
      <c r="I105" s="124" t="str">
        <f>VLOOKUP(D105,Poeng!$B$10:$BE$257,Poeng!BE$1,FALSE)</f>
        <v>Very Good</v>
      </c>
      <c r="J105" s="1120"/>
      <c r="K105" s="1121"/>
      <c r="L105" s="1122"/>
      <c r="M105" s="815"/>
      <c r="N105" s="83"/>
      <c r="O105" s="123">
        <f>VLOOKUP(D105,Poeng!$B$10:$BC$257,Poeng!AF$1,FALSE)</f>
        <v>0</v>
      </c>
      <c r="P105" s="123" t="str">
        <f>VLOOKUP(D105,Poeng!$B$10:$BH$257,Poeng!BH$1,FALSE)</f>
        <v>Very Good</v>
      </c>
      <c r="Q105" s="744"/>
      <c r="R105" s="745"/>
      <c r="S105" s="738"/>
      <c r="T105" s="319"/>
      <c r="U105" s="83"/>
      <c r="V105" s="123">
        <f>VLOOKUP(D105,Poeng!$B$10:$BC$257,Poeng!AG$1,FALSE)</f>
        <v>0</v>
      </c>
      <c r="W105" s="123" t="str">
        <f>VLOOKUP(D105,Poeng!$B$10:$BK$257,Poeng!BK$1,FALSE)</f>
        <v>Very Good</v>
      </c>
      <c r="X105" s="81"/>
      <c r="Y105" s="80"/>
      <c r="Z105" s="738"/>
      <c r="AA105" s="133"/>
      <c r="AB105" s="640"/>
      <c r="AC105" s="107">
        <f t="shared" ref="AC105" si="16">IF(F105="",1,IF(F105=0,2,1))</f>
        <v>1</v>
      </c>
      <c r="AD105" s="3" t="e">
        <f>VLOOKUP(K105,'Assessment Details'!$O$45:$P$48,2,FALSE)</f>
        <v>#N/A</v>
      </c>
      <c r="AE105" s="3" t="e">
        <f>VLOOKUP(R105,'Assessment Details'!$O$45:$P$48,2,FALSE)</f>
        <v>#N/A</v>
      </c>
      <c r="AF105" s="3" t="e">
        <f>VLOOKUP(Y105,'Assessment Details'!$O$45:$P$48,2,FALSE)</f>
        <v>#N/A</v>
      </c>
      <c r="AI105" s="70"/>
      <c r="AJ105" s="671"/>
      <c r="AK105" s="648"/>
      <c r="AL105" s="648"/>
      <c r="AM105" s="70"/>
      <c r="AN105" s="70"/>
      <c r="AO105" s="70"/>
      <c r="AP105" s="70"/>
      <c r="AS105" s="23"/>
      <c r="AT105" s="23"/>
      <c r="AU105" s="23"/>
      <c r="AV105" s="23"/>
      <c r="AW105" s="23"/>
      <c r="AX105" s="23"/>
      <c r="AZ105" s="640"/>
    </row>
    <row r="106" spans="1:52" x14ac:dyDescent="0.25">
      <c r="A106" s="1077">
        <v>97</v>
      </c>
      <c r="B106" s="1076" t="s">
        <v>60</v>
      </c>
      <c r="C106" s="1083" t="str">
        <f>C104</f>
        <v>Wat 01</v>
      </c>
      <c r="D106" s="824" t="s">
        <v>1033</v>
      </c>
      <c r="E106" s="1257" t="str">
        <f>VLOOKUP(D106,Poeng!$B$10:$R$257,Poeng!E$1,FALSE)</f>
        <v>EU taxonomy requirements: criterion 1-3</v>
      </c>
      <c r="F106" s="122" t="str">
        <f>VLOOKUP(D106,Poeng!$B$10:$AB$257,Poeng!AB$1,FALSE)</f>
        <v>Yes/No</v>
      </c>
      <c r="G106" s="43"/>
      <c r="H106" s="123" t="str">
        <f>VLOOKUP(D106,Poeng!$B$10:$AE$257,Poeng!AE$1,FALSE)</f>
        <v>-</v>
      </c>
      <c r="I106" s="124" t="str">
        <f>VLOOKUP(D106,Poeng!$B$10:$BE$257,Poeng!BE$1,FALSE)</f>
        <v>N/A</v>
      </c>
      <c r="J106" s="80"/>
      <c r="K106" s="281"/>
      <c r="L106" s="796"/>
      <c r="M106" s="816"/>
      <c r="N106" s="83"/>
      <c r="O106" s="123" t="str">
        <f>VLOOKUP(D106,Poeng!$B$10:$BC$257,Poeng!AF$1,FALSE)</f>
        <v>-</v>
      </c>
      <c r="P106" s="123" t="str">
        <f>VLOOKUP(D106,Poeng!$B$10:$BH$257,Poeng!BH$1,FALSE)</f>
        <v>N/A</v>
      </c>
      <c r="Q106" s="744"/>
      <c r="R106" s="745"/>
      <c r="S106" s="738"/>
      <c r="T106" s="319"/>
      <c r="U106" s="83"/>
      <c r="V106" s="123" t="str">
        <f>VLOOKUP(D106,Poeng!$B$10:$BC$257,Poeng!AG$1,FALSE)</f>
        <v>-</v>
      </c>
      <c r="W106" s="123" t="str">
        <f>VLOOKUP(D106,Poeng!$B$10:$BK$257,Poeng!BK$1,FALSE)</f>
        <v>N/A</v>
      </c>
      <c r="X106" s="81"/>
      <c r="Y106" s="80"/>
      <c r="Z106" s="1096"/>
      <c r="AA106" s="133"/>
      <c r="AB106" s="640"/>
      <c r="AC106" s="107">
        <f t="shared" si="12"/>
        <v>1</v>
      </c>
      <c r="AD106" s="3" t="e">
        <f>VLOOKUP(K106,'Assessment Details'!$O$45:$P$48,2,FALSE)</f>
        <v>#N/A</v>
      </c>
      <c r="AE106" s="3" t="e">
        <f>VLOOKUP(R106,'Assessment Details'!$O$45:$P$48,2,FALSE)</f>
        <v>#N/A</v>
      </c>
      <c r="AF106" s="3" t="e">
        <f>VLOOKUP(Y106,'Assessment Details'!$O$45:$P$48,2,FALSE)</f>
        <v>#N/A</v>
      </c>
      <c r="AI106" s="70"/>
      <c r="AJ106" s="671"/>
      <c r="AK106" s="648"/>
      <c r="AL106" s="648"/>
      <c r="AM106" s="70"/>
      <c r="AN106" s="70"/>
      <c r="AO106" s="70"/>
      <c r="AP106" s="70"/>
      <c r="AS106" s="23"/>
      <c r="AT106" s="23"/>
      <c r="AU106" s="23"/>
      <c r="AV106" s="23"/>
      <c r="AW106" s="23"/>
      <c r="AX106" s="23"/>
      <c r="AZ106" s="640"/>
    </row>
    <row r="107" spans="1:52" x14ac:dyDescent="0.25">
      <c r="A107" s="1077">
        <v>98</v>
      </c>
      <c r="B107" s="1076" t="s">
        <v>60</v>
      </c>
      <c r="C107" s="924" t="s">
        <v>171</v>
      </c>
      <c r="D107" s="824" t="s">
        <v>171</v>
      </c>
      <c r="E107" s="860" t="str">
        <f>VLOOKUP(D107,Poeng!$B$10:$R$252,Poeng!E$1,FALSE)</f>
        <v>Wat 02 Water monitoring</v>
      </c>
      <c r="F107" s="865">
        <f>VLOOKUP(D107,Poeng!$B$10:$AB$252,Poeng!AB$1,FALSE)</f>
        <v>1</v>
      </c>
      <c r="G107" s="1001"/>
      <c r="H107" s="866" t="str">
        <f>VLOOKUP(D107,Poeng!$B$10:$AI$252,Poeng!AI$1,FALSE)&amp;" c. "&amp;ROUND(VLOOKUP(D107,Poeng!$B$10:$AE$252,Poeng!AE$1,FALSE)*100,1)&amp;" %"</f>
        <v>0 c. 0 %</v>
      </c>
      <c r="I107" s="924" t="str">
        <f>VLOOKUP(D107,Poeng!$B$10:$BE$252,Poeng!BE$1,FALSE)</f>
        <v>N/A</v>
      </c>
      <c r="J107" s="80"/>
      <c r="K107" s="281"/>
      <c r="L107" s="796"/>
      <c r="M107" s="816"/>
      <c r="N107" s="1001"/>
      <c r="O107" s="877" t="str">
        <f>VLOOKUP(D107,Poeng!$B$10:$BC$252,Poeng!AJ$1,FALSE)&amp;" c. "&amp;ROUND(VLOOKUP(D107,Poeng!$B$10:$BC$252,Poeng!AF$1,FALSE)*100,1)&amp;" %"</f>
        <v>0 c. 0 %</v>
      </c>
      <c r="P107" s="123" t="str">
        <f>VLOOKUP(D107,Poeng!$B$10:$BH$252,Poeng!BH$1,FALSE)</f>
        <v>N/A</v>
      </c>
      <c r="Q107" s="744"/>
      <c r="R107" s="745"/>
      <c r="S107" s="738"/>
      <c r="T107" s="319"/>
      <c r="U107" s="1001"/>
      <c r="V107" s="877" t="str">
        <f>VLOOKUP(D107,Poeng!$B$10:$BC$252,Poeng!AK$1,FALSE)&amp;" c. "&amp;ROUND(VLOOKUP(D107,Poeng!$B$10:$BC$252,Poeng!AG$1,FALSE)*100,1)&amp;" %"</f>
        <v>0 c. 0 %</v>
      </c>
      <c r="W107" s="123" t="str">
        <f>VLOOKUP(D107,Poeng!$B$10:$BK$252,Poeng!BK$1,FALSE)</f>
        <v>N/A</v>
      </c>
      <c r="X107" s="81"/>
      <c r="Y107" s="80"/>
      <c r="Z107" s="738"/>
      <c r="AA107" s="133"/>
      <c r="AB107" s="640" t="s">
        <v>13</v>
      </c>
      <c r="AC107" s="107">
        <f t="shared" si="12"/>
        <v>1</v>
      </c>
      <c r="AD107" s="3" t="e">
        <f>VLOOKUP(K107,'Assessment Details'!$O$45:$P$48,2,FALSE)</f>
        <v>#N/A</v>
      </c>
      <c r="AE107" s="3" t="e">
        <f>VLOOKUP(R107,'Assessment Details'!$O$45:$P$48,2,FALSE)</f>
        <v>#N/A</v>
      </c>
      <c r="AF107" s="3" t="e">
        <f>VLOOKUP(Y107,'Assessment Details'!$O$45:$P$48,2,FALSE)</f>
        <v>#N/A</v>
      </c>
      <c r="AI107" s="70" t="str">
        <f>ais_ja</f>
        <v>Ja</v>
      </c>
      <c r="AJ107" s="671" t="s">
        <v>154</v>
      </c>
      <c r="AK107" s="648" t="s">
        <v>407</v>
      </c>
      <c r="AL107" s="648" t="s">
        <v>411</v>
      </c>
      <c r="AM107" s="648" t="s">
        <v>409</v>
      </c>
      <c r="AN107" s="70"/>
      <c r="AO107" s="70"/>
      <c r="AP107" s="70"/>
      <c r="AR107" s="1" t="s">
        <v>13</v>
      </c>
      <c r="AS107" s="23" t="str">
        <f t="shared" si="13"/>
        <v>N/A</v>
      </c>
      <c r="AT107" s="23" t="str">
        <f t="shared" si="14"/>
        <v>N/A</v>
      </c>
      <c r="AU107" s="23" t="str">
        <f t="shared" si="15"/>
        <v>N/A</v>
      </c>
      <c r="AV107" s="23"/>
      <c r="AW107" s="23"/>
      <c r="AX107" s="23"/>
      <c r="AZ107" s="640"/>
    </row>
    <row r="108" spans="1:52" x14ac:dyDescent="0.25">
      <c r="A108" s="1077">
        <v>99</v>
      </c>
      <c r="B108" s="1076" t="s">
        <v>60</v>
      </c>
      <c r="C108" s="1083" t="str">
        <f t="shared" ref="C108" si="17">C107</f>
        <v>Wat 02</v>
      </c>
      <c r="D108" s="824" t="s">
        <v>766</v>
      </c>
      <c r="E108" s="861" t="str">
        <f>VLOOKUP(D108,Poeng!$B$10:$R$252,Poeng!E$1,FALSE)</f>
        <v>Water meter</v>
      </c>
      <c r="F108" s="122">
        <f>VLOOKUP(D108,Poeng!$B$10:$AB$252,Poeng!AB$1,FALSE)</f>
        <v>1</v>
      </c>
      <c r="G108" s="43"/>
      <c r="H108" s="123">
        <f>VLOOKUP(D108,Poeng!$B$10:$AE$252,Poeng!AE$1,FALSE)</f>
        <v>0</v>
      </c>
      <c r="I108" s="124" t="str">
        <f>VLOOKUP(D108,Poeng!$B$10:$BE$252,Poeng!BE$1,FALSE)</f>
        <v>N/A</v>
      </c>
      <c r="J108" s="80"/>
      <c r="K108" s="281"/>
      <c r="L108" s="796"/>
      <c r="M108" s="816"/>
      <c r="N108" s="83"/>
      <c r="O108" s="123">
        <f>VLOOKUP(D108,Poeng!$B$10:$BC$252,Poeng!AF$1,FALSE)</f>
        <v>0</v>
      </c>
      <c r="P108" s="123" t="str">
        <f>VLOOKUP(D108,Poeng!$B$10:$BH$252,Poeng!BH$1,FALSE)</f>
        <v>N/A</v>
      </c>
      <c r="Q108" s="744"/>
      <c r="R108" s="745"/>
      <c r="S108" s="738"/>
      <c r="T108" s="319"/>
      <c r="U108" s="83"/>
      <c r="V108" s="123">
        <f>VLOOKUP(D108,Poeng!$B$10:$BC$252,Poeng!AG$1,FALSE)</f>
        <v>0</v>
      </c>
      <c r="W108" s="123" t="str">
        <f>VLOOKUP(D108,Poeng!$B$10:$BK$252,Poeng!BK$1,FALSE)</f>
        <v>N/A</v>
      </c>
      <c r="X108" s="81"/>
      <c r="Y108" s="80"/>
      <c r="Z108" s="738"/>
      <c r="AA108" s="133"/>
      <c r="AB108" s="640"/>
      <c r="AC108" s="107">
        <f t="shared" si="12"/>
        <v>1</v>
      </c>
      <c r="AD108" s="3" t="e">
        <f>VLOOKUP(K108,'Assessment Details'!$O$45:$P$48,2,FALSE)</f>
        <v>#N/A</v>
      </c>
      <c r="AE108" s="3" t="e">
        <f>VLOOKUP(R108,'Assessment Details'!$O$45:$P$48,2,FALSE)</f>
        <v>#N/A</v>
      </c>
      <c r="AF108" s="3" t="e">
        <f>VLOOKUP(Y108,'Assessment Details'!$O$45:$P$48,2,FALSE)</f>
        <v>#N/A</v>
      </c>
      <c r="AI108" s="70"/>
      <c r="AJ108" s="671"/>
      <c r="AK108" s="727"/>
      <c r="AL108" s="727"/>
      <c r="AM108" s="727"/>
      <c r="AN108" s="3"/>
      <c r="AO108" s="70"/>
      <c r="AP108" s="70"/>
      <c r="AS108" s="23"/>
      <c r="AT108" s="23"/>
      <c r="AU108" s="23"/>
      <c r="AV108" s="23"/>
      <c r="AW108" s="23"/>
      <c r="AX108" s="23"/>
      <c r="AZ108" s="640"/>
    </row>
    <row r="109" spans="1:52" x14ac:dyDescent="0.25">
      <c r="A109" s="1077">
        <v>100</v>
      </c>
      <c r="B109" s="1076" t="s">
        <v>60</v>
      </c>
      <c r="C109" s="924" t="s">
        <v>172</v>
      </c>
      <c r="D109" s="824" t="s">
        <v>172</v>
      </c>
      <c r="E109" s="860" t="str">
        <f>VLOOKUP(D109,Poeng!$B$10:$R$252,Poeng!E$1,FALSE)</f>
        <v>Wat 03 Water leak detection and prevention</v>
      </c>
      <c r="F109" s="865">
        <f>VLOOKUP(D109,Poeng!$B$10:$AB$252,Poeng!AB$1,FALSE)</f>
        <v>2</v>
      </c>
      <c r="G109" s="1001"/>
      <c r="H109" s="866" t="str">
        <f>VLOOKUP(D109,Poeng!$B$10:$AI$252,Poeng!AI$1,FALSE)&amp;" c. "&amp;ROUND(VLOOKUP(D109,Poeng!$B$10:$AE$252,Poeng!AE$1,FALSE)*100,1)&amp;" %"</f>
        <v>0 c. 0 %</v>
      </c>
      <c r="I109" s="924" t="str">
        <f>VLOOKUP(D109,Poeng!$B$10:$BE$252,Poeng!BE$1,FALSE)</f>
        <v>N/A</v>
      </c>
      <c r="J109" s="80"/>
      <c r="K109" s="281"/>
      <c r="L109" s="796"/>
      <c r="M109" s="816"/>
      <c r="N109" s="1001"/>
      <c r="O109" s="877" t="str">
        <f>VLOOKUP(D109,Poeng!$B$10:$BC$252,Poeng!AJ$1,FALSE)&amp;" c. "&amp;ROUND(VLOOKUP(D109,Poeng!$B$10:$BC$252,Poeng!AF$1,FALSE)*100,1)&amp;" %"</f>
        <v>0 c. 0 %</v>
      </c>
      <c r="P109" s="123" t="str">
        <f>VLOOKUP(D109,Poeng!$B$10:$BH$252,Poeng!BH$1,FALSE)</f>
        <v>N/A</v>
      </c>
      <c r="Q109" s="744"/>
      <c r="R109" s="745"/>
      <c r="S109" s="738"/>
      <c r="T109" s="319"/>
      <c r="U109" s="1001"/>
      <c r="V109" s="877" t="str">
        <f>VLOOKUP(D109,Poeng!$B$10:$BC$252,Poeng!AK$1,FALSE)&amp;" c. "&amp;ROUND(VLOOKUP(D109,Poeng!$B$10:$BC$252,Poeng!AG$1,FALSE)*100,1)&amp;" %"</f>
        <v>0 c. 0 %</v>
      </c>
      <c r="W109" s="123" t="str">
        <f>VLOOKUP(D109,Poeng!$B$10:$BK$252,Poeng!BK$1,FALSE)</f>
        <v>N/A</v>
      </c>
      <c r="X109" s="81"/>
      <c r="Y109" s="80"/>
      <c r="Z109" s="738"/>
      <c r="AA109" s="133"/>
      <c r="AB109" s="640" t="s">
        <v>13</v>
      </c>
      <c r="AC109" s="107">
        <f t="shared" si="12"/>
        <v>1</v>
      </c>
      <c r="AD109" s="3" t="e">
        <f>VLOOKUP(K109,'Assessment Details'!$O$45:$P$48,2,FALSE)</f>
        <v>#N/A</v>
      </c>
      <c r="AE109" s="3" t="e">
        <f>VLOOKUP(R109,'Assessment Details'!$O$45:$P$48,2,FALSE)</f>
        <v>#N/A</v>
      </c>
      <c r="AF109" s="3" t="e">
        <f>VLOOKUP(Y109,'Assessment Details'!$O$45:$P$48,2,FALSE)</f>
        <v>#N/A</v>
      </c>
      <c r="AI109" s="70" t="str">
        <f>ais_ja</f>
        <v>Ja</v>
      </c>
      <c r="AJ109" s="671" t="s">
        <v>155</v>
      </c>
      <c r="AK109" s="653" t="s">
        <v>450</v>
      </c>
      <c r="AL109" s="653" t="s">
        <v>449</v>
      </c>
      <c r="AM109" s="653" t="s">
        <v>451</v>
      </c>
      <c r="AN109" s="653" t="s">
        <v>441</v>
      </c>
      <c r="AO109" s="70"/>
      <c r="AP109" s="70"/>
      <c r="AR109" s="1" t="s">
        <v>13</v>
      </c>
      <c r="AS109" s="23" t="str">
        <f t="shared" si="13"/>
        <v>N/A</v>
      </c>
      <c r="AT109" s="23" t="str">
        <f t="shared" si="14"/>
        <v>N/A</v>
      </c>
      <c r="AU109" s="23" t="str">
        <f t="shared" si="15"/>
        <v>N/A</v>
      </c>
      <c r="AV109" s="23" t="str">
        <f t="shared" si="15"/>
        <v>N/A</v>
      </c>
      <c r="AW109" s="23"/>
      <c r="AX109" s="23"/>
      <c r="AZ109" s="640"/>
    </row>
    <row r="110" spans="1:52" x14ac:dyDescent="0.25">
      <c r="A110" s="1077">
        <v>101</v>
      </c>
      <c r="B110" s="1076" t="s">
        <v>60</v>
      </c>
      <c r="C110" s="1083" t="str">
        <f t="shared" ref="C110:C112" si="18">C109</f>
        <v>Wat 03</v>
      </c>
      <c r="D110" s="824" t="s">
        <v>767</v>
      </c>
      <c r="E110" s="861" t="str">
        <f>VLOOKUP(D110,Poeng!$B$10:$R$252,Poeng!E$1,FALSE)</f>
        <v>Leak detection system</v>
      </c>
      <c r="F110" s="122">
        <f>VLOOKUP(D110,Poeng!$B$10:$AB$252,Poeng!AB$1,FALSE)</f>
        <v>1</v>
      </c>
      <c r="G110" s="43"/>
      <c r="H110" s="123">
        <f>VLOOKUP(D110,Poeng!$B$10:$AE$252,Poeng!AE$1,FALSE)</f>
        <v>0</v>
      </c>
      <c r="I110" s="124" t="str">
        <f>VLOOKUP(D110,Poeng!$B$10:$BE$252,Poeng!BE$1,FALSE)</f>
        <v>N/A</v>
      </c>
      <c r="J110" s="80"/>
      <c r="K110" s="281"/>
      <c r="L110" s="796"/>
      <c r="M110" s="816"/>
      <c r="N110" s="83"/>
      <c r="O110" s="123">
        <f>VLOOKUP(D110,Poeng!$B$10:$BC$252,Poeng!AF$1,FALSE)</f>
        <v>0</v>
      </c>
      <c r="P110" s="123" t="str">
        <f>VLOOKUP(D110,Poeng!$B$10:$BH$252,Poeng!BH$1,FALSE)</f>
        <v>N/A</v>
      </c>
      <c r="Q110" s="744"/>
      <c r="R110" s="745"/>
      <c r="S110" s="738"/>
      <c r="T110" s="319"/>
      <c r="U110" s="83"/>
      <c r="V110" s="123">
        <f>VLOOKUP(D110,Poeng!$B$10:$BC$252,Poeng!AG$1,FALSE)</f>
        <v>0</v>
      </c>
      <c r="W110" s="123" t="str">
        <f>VLOOKUP(D110,Poeng!$B$10:$BK$252,Poeng!BK$1,FALSE)</f>
        <v>N/A</v>
      </c>
      <c r="X110" s="81"/>
      <c r="Y110" s="80"/>
      <c r="Z110" s="738"/>
      <c r="AA110" s="133"/>
      <c r="AB110" s="640"/>
      <c r="AC110" s="107">
        <f t="shared" si="12"/>
        <v>1</v>
      </c>
      <c r="AD110" s="3" t="e">
        <f>VLOOKUP(K110,'Assessment Details'!$O$45:$P$48,2,FALSE)</f>
        <v>#N/A</v>
      </c>
      <c r="AE110" s="3" t="e">
        <f>VLOOKUP(R110,'Assessment Details'!$O$45:$P$48,2,FALSE)</f>
        <v>#N/A</v>
      </c>
      <c r="AF110" s="3" t="e">
        <f>VLOOKUP(Y110,'Assessment Details'!$O$45:$P$48,2,FALSE)</f>
        <v>#N/A</v>
      </c>
      <c r="AI110" s="70"/>
      <c r="AJ110" s="671"/>
      <c r="AK110" s="653"/>
      <c r="AL110" s="653"/>
      <c r="AM110" s="653"/>
      <c r="AN110" s="653"/>
      <c r="AO110" s="70"/>
      <c r="AP110" s="70"/>
      <c r="AS110" s="23"/>
      <c r="AT110" s="23"/>
      <c r="AU110" s="23"/>
      <c r="AV110" s="23"/>
      <c r="AW110" s="23"/>
      <c r="AX110" s="23"/>
      <c r="AZ110" s="640"/>
    </row>
    <row r="111" spans="1:52" x14ac:dyDescent="0.25">
      <c r="A111" s="1077">
        <v>102</v>
      </c>
      <c r="B111" s="1076" t="s">
        <v>60</v>
      </c>
      <c r="C111" s="1083" t="str">
        <f t="shared" si="18"/>
        <v>Wat 03</v>
      </c>
      <c r="D111" s="824" t="s">
        <v>768</v>
      </c>
      <c r="E111" s="861" t="str">
        <f>VLOOKUP(D111,Poeng!$B$10:$R$252,Poeng!E$1,FALSE)</f>
        <v>Flow control devices</v>
      </c>
      <c r="F111" s="122">
        <f>VLOOKUP(D111,Poeng!$B$10:$AB$252,Poeng!AB$1,FALSE)</f>
        <v>1</v>
      </c>
      <c r="G111" s="43"/>
      <c r="H111" s="123">
        <f>VLOOKUP(D111,Poeng!$B$10:$AE$252,Poeng!AE$1,FALSE)</f>
        <v>0</v>
      </c>
      <c r="I111" s="124" t="str">
        <f>VLOOKUP(D111,Poeng!$B$10:$BE$252,Poeng!BE$1,FALSE)</f>
        <v>N/A</v>
      </c>
      <c r="J111" s="80"/>
      <c r="K111" s="281"/>
      <c r="L111" s="796"/>
      <c r="M111" s="816"/>
      <c r="N111" s="83"/>
      <c r="O111" s="123">
        <f>VLOOKUP(D111,Poeng!$B$10:$BC$252,Poeng!AF$1,FALSE)</f>
        <v>0</v>
      </c>
      <c r="P111" s="123" t="str">
        <f>VLOOKUP(D111,Poeng!$B$10:$BH$252,Poeng!BH$1,FALSE)</f>
        <v>N/A</v>
      </c>
      <c r="Q111" s="744"/>
      <c r="R111" s="745"/>
      <c r="S111" s="738"/>
      <c r="T111" s="319"/>
      <c r="U111" s="83"/>
      <c r="V111" s="123">
        <f>VLOOKUP(D111,Poeng!$B$10:$BC$252,Poeng!AG$1,FALSE)</f>
        <v>0</v>
      </c>
      <c r="W111" s="123" t="str">
        <f>VLOOKUP(D111,Poeng!$B$10:$BK$252,Poeng!BK$1,FALSE)</f>
        <v>N/A</v>
      </c>
      <c r="X111" s="81"/>
      <c r="Y111" s="80"/>
      <c r="Z111" s="738"/>
      <c r="AA111" s="133"/>
      <c r="AB111" s="640"/>
      <c r="AC111" s="107">
        <f t="shared" si="12"/>
        <v>1</v>
      </c>
      <c r="AD111" s="3" t="e">
        <f>VLOOKUP(K111,'Assessment Details'!$O$45:$P$48,2,FALSE)</f>
        <v>#N/A</v>
      </c>
      <c r="AE111" s="3" t="e">
        <f>VLOOKUP(R111,'Assessment Details'!$O$45:$P$48,2,FALSE)</f>
        <v>#N/A</v>
      </c>
      <c r="AF111" s="3" t="e">
        <f>VLOOKUP(Y111,'Assessment Details'!$O$45:$P$48,2,FALSE)</f>
        <v>#N/A</v>
      </c>
      <c r="AI111" s="70"/>
      <c r="AJ111" s="671"/>
      <c r="AK111" s="653"/>
      <c r="AL111" s="653"/>
      <c r="AM111" s="653"/>
      <c r="AN111" s="653"/>
      <c r="AO111" s="70"/>
      <c r="AP111" s="70"/>
      <c r="AS111" s="23"/>
      <c r="AT111" s="23"/>
      <c r="AU111" s="23"/>
      <c r="AV111" s="23"/>
      <c r="AW111" s="23"/>
      <c r="AX111" s="23"/>
      <c r="AZ111" s="640"/>
    </row>
    <row r="112" spans="1:52" x14ac:dyDescent="0.25">
      <c r="A112" s="1077">
        <v>103</v>
      </c>
      <c r="B112" s="1076" t="s">
        <v>60</v>
      </c>
      <c r="C112" s="1083" t="str">
        <f t="shared" si="18"/>
        <v>Wat 03</v>
      </c>
      <c r="D112" s="824" t="s">
        <v>769</v>
      </c>
      <c r="E112" s="861" t="str">
        <f>VLOOKUP(D112,Poeng!$B$10:$R$252,Poeng!E$1,FALSE)</f>
        <v>Leak isolation</v>
      </c>
      <c r="F112" s="122">
        <f>VLOOKUP(D112,Poeng!$B$10:$AB$252,Poeng!AB$1,FALSE)</f>
        <v>0</v>
      </c>
      <c r="G112" s="43"/>
      <c r="H112" s="123">
        <f>VLOOKUP(D112,Poeng!$B$10:$AE$252,Poeng!AE$1,FALSE)</f>
        <v>0</v>
      </c>
      <c r="I112" s="124" t="str">
        <f>VLOOKUP(D112,Poeng!$B$10:$BE$252,Poeng!BE$1,FALSE)</f>
        <v>N/A</v>
      </c>
      <c r="J112" s="80"/>
      <c r="K112" s="281"/>
      <c r="L112" s="796"/>
      <c r="M112" s="816"/>
      <c r="N112" s="83"/>
      <c r="O112" s="123">
        <f>VLOOKUP(D112,Poeng!$B$10:$BC$252,Poeng!AF$1,FALSE)</f>
        <v>0</v>
      </c>
      <c r="P112" s="123" t="str">
        <f>VLOOKUP(D112,Poeng!$B$10:$BH$252,Poeng!BH$1,FALSE)</f>
        <v>N/A</v>
      </c>
      <c r="Q112" s="744"/>
      <c r="R112" s="745"/>
      <c r="S112" s="738"/>
      <c r="T112" s="319"/>
      <c r="U112" s="83"/>
      <c r="V112" s="123">
        <f>VLOOKUP(D112,Poeng!$B$10:$BC$252,Poeng!AG$1,FALSE)</f>
        <v>0</v>
      </c>
      <c r="W112" s="123" t="str">
        <f>VLOOKUP(D112,Poeng!$B$10:$BK$252,Poeng!BK$1,FALSE)</f>
        <v>N/A</v>
      </c>
      <c r="X112" s="81"/>
      <c r="Y112" s="80"/>
      <c r="Z112" s="1096"/>
      <c r="AA112" s="133"/>
      <c r="AB112" s="640"/>
      <c r="AC112" s="107">
        <f t="shared" si="12"/>
        <v>2</v>
      </c>
      <c r="AD112" s="3" t="e">
        <f>VLOOKUP(K112,'Assessment Details'!$O$45:$P$48,2,FALSE)</f>
        <v>#N/A</v>
      </c>
      <c r="AE112" s="3" t="e">
        <f>VLOOKUP(R112,'Assessment Details'!$O$45:$P$48,2,FALSE)</f>
        <v>#N/A</v>
      </c>
      <c r="AF112" s="3" t="e">
        <f>VLOOKUP(Y112,'Assessment Details'!$O$45:$P$48,2,FALSE)</f>
        <v>#N/A</v>
      </c>
      <c r="AI112" s="70"/>
      <c r="AJ112" s="671"/>
      <c r="AK112" s="653"/>
      <c r="AL112" s="653"/>
      <c r="AM112" s="653"/>
      <c r="AN112" s="653"/>
      <c r="AO112" s="70"/>
      <c r="AP112" s="70"/>
      <c r="AS112" s="23"/>
      <c r="AT112" s="23"/>
      <c r="AU112" s="23"/>
      <c r="AV112" s="23"/>
      <c r="AW112" s="23"/>
      <c r="AX112" s="23"/>
      <c r="AZ112" s="640"/>
    </row>
    <row r="113" spans="1:52" x14ac:dyDescent="0.25">
      <c r="A113" s="1077">
        <v>104</v>
      </c>
      <c r="B113" s="1076" t="s">
        <v>60</v>
      </c>
      <c r="C113" s="924" t="s">
        <v>173</v>
      </c>
      <c r="D113" s="824" t="s">
        <v>173</v>
      </c>
      <c r="E113" s="860" t="str">
        <f>VLOOKUP(D113,Poeng!$B$10:$R$252,Poeng!E$1,FALSE)</f>
        <v>Wat 04 Water efficient equipment</v>
      </c>
      <c r="F113" s="865">
        <f>VLOOKUP(D113,Poeng!$B$10:$AB$252,Poeng!AB$1,FALSE)</f>
        <v>1</v>
      </c>
      <c r="G113" s="1001"/>
      <c r="H113" s="866" t="str">
        <f>VLOOKUP(D113,Poeng!$B$10:$AI$252,Poeng!AI$1,FALSE)&amp;" c. "&amp;ROUND(VLOOKUP(D113,Poeng!$B$10:$AE$252,Poeng!AE$1,FALSE)*100,1)&amp;" %"</f>
        <v>0 c. 0 %</v>
      </c>
      <c r="I113" s="924" t="str">
        <f>VLOOKUP(D113,Poeng!$B$10:$BE$252,Poeng!BE$1,FALSE)</f>
        <v>N/A</v>
      </c>
      <c r="J113" s="80"/>
      <c r="K113" s="281"/>
      <c r="L113" s="796"/>
      <c r="M113" s="816"/>
      <c r="N113" s="1001"/>
      <c r="O113" s="877" t="str">
        <f>VLOOKUP(D113,Poeng!$B$10:$BC$252,Poeng!AJ$1,FALSE)&amp;" c. "&amp;ROUND(VLOOKUP(D113,Poeng!$B$10:$BC$252,Poeng!AF$1,FALSE)*100,1)&amp;" %"</f>
        <v>0 c. 0 %</v>
      </c>
      <c r="P113" s="123" t="str">
        <f>VLOOKUP(D113,Poeng!$B$10:$BH$252,Poeng!BH$1,FALSE)</f>
        <v>N/A</v>
      </c>
      <c r="Q113" s="744"/>
      <c r="R113" s="745"/>
      <c r="S113" s="738"/>
      <c r="T113" s="319"/>
      <c r="U113" s="1001"/>
      <c r="V113" s="877" t="str">
        <f>VLOOKUP(D113,Poeng!$B$10:$BC$252,Poeng!AK$1,FALSE)&amp;" c. "&amp;ROUND(VLOOKUP(D113,Poeng!$B$10:$BC$252,Poeng!AG$1,FALSE)*100,1)&amp;" %"</f>
        <v>0 c. 0 %</v>
      </c>
      <c r="W113" s="123" t="str">
        <f>VLOOKUP(D113,Poeng!$B$10:$BK$252,Poeng!BK$1,FALSE)</f>
        <v>N/A</v>
      </c>
      <c r="X113" s="81"/>
      <c r="Y113" s="80"/>
      <c r="Z113" s="738"/>
      <c r="AA113" s="133"/>
      <c r="AB113" s="640" t="s">
        <v>14</v>
      </c>
      <c r="AC113" s="107">
        <f t="shared" si="12"/>
        <v>1</v>
      </c>
      <c r="AD113" s="3" t="e">
        <f>VLOOKUP(K113,'Assessment Details'!$O$45:$P$48,2,FALSE)</f>
        <v>#N/A</v>
      </c>
      <c r="AE113" s="3" t="e">
        <f>VLOOKUP(R113,'Assessment Details'!$O$45:$P$48,2,FALSE)</f>
        <v>#N/A</v>
      </c>
      <c r="AF113" s="3" t="e">
        <f>VLOOKUP(Y113,'Assessment Details'!$O$45:$P$48,2,FALSE)</f>
        <v>#N/A</v>
      </c>
      <c r="AI113" s="70"/>
      <c r="AJ113" s="671" t="s">
        <v>156</v>
      </c>
      <c r="AK113" s="70"/>
      <c r="AL113" s="70"/>
      <c r="AM113" s="70"/>
      <c r="AN113" s="70"/>
      <c r="AO113" s="70"/>
      <c r="AP113" s="70"/>
      <c r="AS113" s="23" t="str">
        <f t="shared" si="13"/>
        <v>N/A</v>
      </c>
      <c r="AT113" s="23" t="str">
        <f t="shared" si="14"/>
        <v>N/A</v>
      </c>
      <c r="AU113" s="23" t="str">
        <f t="shared" si="15"/>
        <v>N/A</v>
      </c>
      <c r="AV113" s="23"/>
      <c r="AW113" s="23"/>
      <c r="AX113" s="23"/>
      <c r="AZ113" s="640"/>
    </row>
    <row r="114" spans="1:52" x14ac:dyDescent="0.25">
      <c r="A114" s="1077">
        <v>105</v>
      </c>
      <c r="B114" s="1076" t="s">
        <v>60</v>
      </c>
      <c r="C114" s="1083" t="str">
        <f t="shared" ref="C114:C207" si="19">C113</f>
        <v>Wat 04</v>
      </c>
      <c r="D114" s="824" t="s">
        <v>770</v>
      </c>
      <c r="E114" s="861" t="str">
        <f>VLOOKUP(D114,Poeng!$B$10:$R$252,Poeng!E$1,FALSE)</f>
        <v>Water efficient equipment</v>
      </c>
      <c r="F114" s="122">
        <f>VLOOKUP(D114,Poeng!$B$10:$AB$252,Poeng!AB$1,FALSE)</f>
        <v>1</v>
      </c>
      <c r="G114" s="43"/>
      <c r="H114" s="123">
        <f>VLOOKUP(D114,Poeng!$B$10:$AE$252,Poeng!AE$1,FALSE)</f>
        <v>0</v>
      </c>
      <c r="I114" s="124" t="str">
        <f>VLOOKUP(D114,Poeng!$B$10:$BE$252,Poeng!BE$1,FALSE)</f>
        <v>N/A</v>
      </c>
      <c r="J114" s="80"/>
      <c r="K114" s="281"/>
      <c r="L114" s="796"/>
      <c r="M114" s="816"/>
      <c r="N114" s="83"/>
      <c r="O114" s="123">
        <f>VLOOKUP(D114,Poeng!$B$10:$BC$252,Poeng!AF$1,FALSE)</f>
        <v>0</v>
      </c>
      <c r="P114" s="123" t="str">
        <f>VLOOKUP(D114,Poeng!$B$10:$BH$252,Poeng!BH$1,FALSE)</f>
        <v>N/A</v>
      </c>
      <c r="Q114" s="744"/>
      <c r="R114" s="745"/>
      <c r="S114" s="738"/>
      <c r="T114" s="319"/>
      <c r="U114" s="83"/>
      <c r="V114" s="123">
        <f>VLOOKUP(D114,Poeng!$B$10:$BC$252,Poeng!AG$1,FALSE)</f>
        <v>0</v>
      </c>
      <c r="W114" s="123" t="str">
        <f>VLOOKUP(D114,Poeng!$B$10:$BK$252,Poeng!BK$1,FALSE)</f>
        <v>N/A</v>
      </c>
      <c r="X114" s="81"/>
      <c r="Y114" s="80"/>
      <c r="Z114" s="738"/>
      <c r="AA114" s="133"/>
      <c r="AB114" s="714"/>
      <c r="AC114" s="107">
        <f t="shared" si="12"/>
        <v>1</v>
      </c>
      <c r="AD114" s="3" t="e">
        <f>VLOOKUP(K114,'Assessment Details'!$O$45:$P$48,2,FALSE)</f>
        <v>#N/A</v>
      </c>
      <c r="AE114" s="3" t="e">
        <f>VLOOKUP(R114,'Assessment Details'!$O$45:$P$48,2,FALSE)</f>
        <v>#N/A</v>
      </c>
      <c r="AF114" s="3" t="e">
        <f>VLOOKUP(Y114,'Assessment Details'!$O$45:$P$48,2,FALSE)</f>
        <v>#N/A</v>
      </c>
      <c r="AI114" s="70"/>
      <c r="AJ114" s="671"/>
      <c r="AK114" s="70"/>
      <c r="AL114" s="70"/>
      <c r="AM114" s="70"/>
      <c r="AN114" s="70"/>
      <c r="AO114" s="70"/>
      <c r="AP114" s="70"/>
      <c r="AS114" s="23"/>
      <c r="AT114" s="23"/>
      <c r="AU114" s="23"/>
      <c r="AV114" s="23"/>
      <c r="AW114" s="23"/>
      <c r="AX114" s="23"/>
      <c r="AZ114" s="714"/>
    </row>
    <row r="115" spans="1:52" ht="15.75" thickBot="1" x14ac:dyDescent="0.3">
      <c r="A115" s="1077">
        <v>106</v>
      </c>
      <c r="B115" s="1076" t="s">
        <v>60</v>
      </c>
      <c r="C115" s="1084"/>
      <c r="D115" s="824" t="s">
        <v>887</v>
      </c>
      <c r="E115" s="320" t="s">
        <v>108</v>
      </c>
      <c r="F115" s="125">
        <f>Wat_Credits</f>
        <v>9</v>
      </c>
      <c r="G115" s="131"/>
      <c r="H115" s="126">
        <f>Wat_cont_tot</f>
        <v>0</v>
      </c>
      <c r="I115" s="867" t="str">
        <f>"Credits achieved: "&amp;Wat_tot_user</f>
        <v>Credits achieved: 0</v>
      </c>
      <c r="J115" s="134"/>
      <c r="K115" s="282"/>
      <c r="L115" s="746"/>
      <c r="M115" s="816"/>
      <c r="N115" s="383"/>
      <c r="O115" s="126">
        <f>VLOOKUP(D115,Poeng!$B$10:$BC$252,Poeng!AF$1,FALSE)</f>
        <v>0</v>
      </c>
      <c r="P115" s="867" t="str">
        <f>"Credits achieved: "&amp;Wat_d_user</f>
        <v>Credits achieved: 0</v>
      </c>
      <c r="Q115" s="747"/>
      <c r="R115" s="748"/>
      <c r="S115" s="746"/>
      <c r="T115" s="319"/>
      <c r="U115" s="383"/>
      <c r="V115" s="126">
        <f>VLOOKUP(D115,Poeng!$B$10:$BC$252,Poeng!AG$1,FALSE)</f>
        <v>0</v>
      </c>
      <c r="W115" s="867" t="str">
        <f>"Credits achieved: "&amp;Wat_c_user</f>
        <v>Credits achieved: 0</v>
      </c>
      <c r="X115" s="382"/>
      <c r="Y115" s="136"/>
      <c r="Z115" s="746"/>
      <c r="AA115" s="133"/>
      <c r="AB115" s="641"/>
      <c r="AC115" s="107">
        <f t="shared" si="12"/>
        <v>1</v>
      </c>
      <c r="AD115" s="276">
        <v>0</v>
      </c>
      <c r="AE115" s="276">
        <v>0</v>
      </c>
      <c r="AF115" s="276">
        <v>0</v>
      </c>
      <c r="AI115" s="70"/>
      <c r="AJ115" s="671" t="s">
        <v>108</v>
      </c>
      <c r="AK115" s="70"/>
      <c r="AL115" s="70"/>
      <c r="AM115" s="70"/>
      <c r="AN115" s="70"/>
      <c r="AO115" s="70"/>
      <c r="AP115" s="70"/>
      <c r="AS115" s="23" t="str">
        <f t="shared" si="13"/>
        <v>N/A</v>
      </c>
      <c r="AT115" s="23" t="str">
        <f t="shared" si="14"/>
        <v>N/A</v>
      </c>
      <c r="AU115" s="23" t="str">
        <f t="shared" si="15"/>
        <v>N/A</v>
      </c>
      <c r="AV115" s="23"/>
      <c r="AW115" s="23"/>
      <c r="AX115" s="23"/>
      <c r="AZ115" s="641"/>
    </row>
    <row r="116" spans="1:52" x14ac:dyDescent="0.25">
      <c r="A116" s="1077">
        <v>107</v>
      </c>
      <c r="B116" s="1076" t="s">
        <v>60</v>
      </c>
      <c r="C116" s="322"/>
      <c r="D116" s="824"/>
      <c r="E116" s="321"/>
      <c r="F116" s="322"/>
      <c r="G116" s="323"/>
      <c r="H116" s="322"/>
      <c r="I116" s="322"/>
      <c r="J116" s="324"/>
      <c r="K116" s="323"/>
      <c r="L116" s="749"/>
      <c r="M116" s="815"/>
      <c r="N116" s="325"/>
      <c r="O116" s="325"/>
      <c r="P116" s="749"/>
      <c r="Q116" s="749"/>
      <c r="R116" s="750"/>
      <c r="S116" s="1095"/>
      <c r="T116" s="326"/>
      <c r="U116" s="325"/>
      <c r="V116" s="325"/>
      <c r="W116" s="749"/>
      <c r="X116" s="324"/>
      <c r="Y116" s="325"/>
      <c r="Z116" s="1095"/>
      <c r="AA116" s="699"/>
      <c r="AB116" s="324"/>
      <c r="AC116" s="107">
        <f t="shared" si="12"/>
        <v>1</v>
      </c>
      <c r="AD116" s="278">
        <v>0</v>
      </c>
      <c r="AE116" s="278">
        <v>0</v>
      </c>
      <c r="AF116" s="278">
        <v>0</v>
      </c>
      <c r="AI116" s="70"/>
      <c r="AJ116" s="671"/>
      <c r="AK116" s="70"/>
      <c r="AL116" s="70"/>
      <c r="AM116" s="70"/>
      <c r="AN116" s="70"/>
      <c r="AO116" s="70"/>
      <c r="AP116" s="70"/>
      <c r="AS116" s="23" t="str">
        <f t="shared" si="13"/>
        <v>N/A</v>
      </c>
      <c r="AT116" s="23" t="str">
        <f t="shared" si="14"/>
        <v>N/A</v>
      </c>
      <c r="AU116" s="23" t="str">
        <f t="shared" si="15"/>
        <v>N/A</v>
      </c>
      <c r="AV116" s="23"/>
      <c r="AW116" s="23"/>
      <c r="AX116" s="23"/>
      <c r="AZ116" s="324"/>
    </row>
    <row r="117" spans="1:52" ht="18.75" x14ac:dyDescent="0.25">
      <c r="A117" s="1077">
        <v>108</v>
      </c>
      <c r="B117" s="1078" t="s">
        <v>69</v>
      </c>
      <c r="C117" s="1085"/>
      <c r="D117" s="824"/>
      <c r="E117" s="327" t="s">
        <v>56</v>
      </c>
      <c r="F117" s="315"/>
      <c r="G117" s="316"/>
      <c r="H117" s="336"/>
      <c r="I117" s="315"/>
      <c r="J117" s="328"/>
      <c r="K117" s="329"/>
      <c r="L117" s="752"/>
      <c r="M117" s="816"/>
      <c r="N117" s="339"/>
      <c r="O117" s="332"/>
      <c r="P117" s="742"/>
      <c r="Q117" s="753"/>
      <c r="R117" s="754"/>
      <c r="S117" s="755"/>
      <c r="T117" s="319"/>
      <c r="U117" s="339"/>
      <c r="V117" s="338"/>
      <c r="W117" s="742"/>
      <c r="X117" s="328"/>
      <c r="Y117" s="338"/>
      <c r="Z117" s="752"/>
      <c r="AA117" s="133"/>
      <c r="AB117" s="337"/>
      <c r="AC117" s="107">
        <f t="shared" si="12"/>
        <v>1</v>
      </c>
      <c r="AD117" s="275">
        <v>0</v>
      </c>
      <c r="AE117" s="275">
        <v>0</v>
      </c>
      <c r="AF117" s="275">
        <v>0</v>
      </c>
      <c r="AI117" s="70"/>
      <c r="AJ117" s="671" t="s">
        <v>56</v>
      </c>
      <c r="AK117" s="70"/>
      <c r="AL117" s="70"/>
      <c r="AM117" s="70"/>
      <c r="AN117" s="70"/>
      <c r="AO117" s="70"/>
      <c r="AP117" s="70"/>
      <c r="AS117" s="23" t="str">
        <f t="shared" si="13"/>
        <v>N/A</v>
      </c>
      <c r="AT117" s="23" t="str">
        <f t="shared" si="14"/>
        <v>N/A</v>
      </c>
      <c r="AU117" s="23" t="str">
        <f t="shared" si="15"/>
        <v>N/A</v>
      </c>
      <c r="AV117" s="23"/>
      <c r="AW117" s="23"/>
      <c r="AX117" s="23"/>
      <c r="AZ117" s="337"/>
    </row>
    <row r="118" spans="1:52" ht="30" x14ac:dyDescent="0.25">
      <c r="A118" s="1077">
        <v>109</v>
      </c>
      <c r="B118" s="1078" t="s">
        <v>69</v>
      </c>
      <c r="C118" s="1089" t="s">
        <v>174</v>
      </c>
      <c r="D118" s="824" t="s">
        <v>174</v>
      </c>
      <c r="E118" s="979" t="str">
        <f>VLOOKUP(D118,Poeng!$B$10:$R$252,Poeng!E$1,FALSE)</f>
        <v>Mat 01 Environmental impacts from construction products - Building life cycle assessment (LCA)</v>
      </c>
      <c r="F118" s="865">
        <f>VLOOKUP(D118,Poeng!$B$10:$AB$252,Poeng!AB$1,FALSE)</f>
        <v>5</v>
      </c>
      <c r="G118" s="1000"/>
      <c r="H118" s="866" t="str">
        <f>VLOOKUP(D118,Poeng!$B$10:$AI$252,Poeng!AI$1,FALSE)&amp;" c. "&amp;ROUND(VLOOKUP(D118,Poeng!$B$10:$AE$252,Poeng!AE$1,FALSE)*100,1)&amp;" %"</f>
        <v>0 c. 0 %</v>
      </c>
      <c r="I118" s="923" t="str">
        <f>VLOOKUP(D118,Poeng!$B$10:$BE$252,Poeng!BE$1,FALSE)</f>
        <v>N/A</v>
      </c>
      <c r="J118" s="874"/>
      <c r="K118" s="875"/>
      <c r="L118" s="876"/>
      <c r="M118" s="815"/>
      <c r="N118" s="1001"/>
      <c r="O118" s="1094" t="str">
        <f>VLOOKUP(D118,Poeng!$B$10:$BC$252,Poeng!AJ$1,FALSE)&amp;" c. "&amp;ROUND(VLOOKUP(D118,Poeng!$B$10:$BC$252,Poeng!AF$1,FALSE)*100,1)&amp;" %"</f>
        <v>0 c. 0 %</v>
      </c>
      <c r="P118" s="123" t="str">
        <f>VLOOKUP(D118,Poeng!$B$10:$BH$252,Poeng!BH$1,FALSE)</f>
        <v>N/A</v>
      </c>
      <c r="Q118" s="744"/>
      <c r="R118" s="745"/>
      <c r="S118" s="738"/>
      <c r="T118" s="319"/>
      <c r="U118" s="1001"/>
      <c r="V118" s="877" t="str">
        <f>VLOOKUP(D118,Poeng!$B$10:$BC$252,Poeng!AK$1,FALSE)&amp;" c. "&amp;ROUND(VLOOKUP(D118,Poeng!$B$10:$BC$252,Poeng!AG$1,FALSE)*100,1)&amp;" %"</f>
        <v>0 c. 0 %</v>
      </c>
      <c r="W118" s="123" t="str">
        <f>VLOOKUP(D118,Poeng!$B$10:$BK$252,Poeng!BK$1,FALSE)</f>
        <v>N/A</v>
      </c>
      <c r="X118" s="81"/>
      <c r="Y118" s="80"/>
      <c r="Z118" s="738"/>
      <c r="AA118" s="133"/>
      <c r="AB118" s="640" t="s">
        <v>14</v>
      </c>
      <c r="AC118" s="107">
        <f t="shared" si="12"/>
        <v>1</v>
      </c>
      <c r="AD118" s="3" t="e">
        <f>VLOOKUP(K118,'Assessment Details'!$O$45:$P$48,2,FALSE)</f>
        <v>#N/A</v>
      </c>
      <c r="AE118" s="3" t="e">
        <f>VLOOKUP(R118,'Assessment Details'!$O$45:$P$48,2,FALSE)</f>
        <v>#N/A</v>
      </c>
      <c r="AF118" s="3" t="e">
        <f>VLOOKUP(Y118,'Assessment Details'!$O$45:$P$48,2,FALSE)</f>
        <v>#N/A</v>
      </c>
      <c r="AI118" s="70"/>
      <c r="AJ118" s="671" t="s">
        <v>157</v>
      </c>
      <c r="AK118" s="70"/>
      <c r="AL118" s="70"/>
      <c r="AM118" s="70"/>
      <c r="AN118" s="70"/>
      <c r="AO118" s="70"/>
      <c r="AP118" s="70"/>
      <c r="AS118" s="23" t="str">
        <f t="shared" si="13"/>
        <v>N/A</v>
      </c>
      <c r="AT118" s="23" t="str">
        <f t="shared" si="14"/>
        <v>N/A</v>
      </c>
      <c r="AU118" s="23" t="str">
        <f t="shared" si="15"/>
        <v>N/A</v>
      </c>
      <c r="AV118" s="23"/>
      <c r="AW118" s="23"/>
      <c r="AX118" s="23"/>
      <c r="AZ118" s="640"/>
    </row>
    <row r="119" spans="1:52" x14ac:dyDescent="0.25">
      <c r="A119" s="1077">
        <v>110</v>
      </c>
      <c r="B119" s="1078" t="s">
        <v>69</v>
      </c>
      <c r="C119" s="1083" t="str">
        <f t="shared" si="19"/>
        <v>Mat 01</v>
      </c>
      <c r="D119" s="824" t="s">
        <v>771</v>
      </c>
      <c r="E119" s="861" t="str">
        <f>VLOOKUP(D119,Poeng!$B$10:$R$252,Poeng!E$1,FALSE)</f>
        <v>Pre-requisite: early stage greenhouse gas calculation</v>
      </c>
      <c r="F119" s="122" t="str">
        <f>VLOOKUP(D119,Poeng!$B$10:$AB$252,Poeng!AB$1,FALSE)</f>
        <v>Yes/No</v>
      </c>
      <c r="G119" s="43"/>
      <c r="H119" s="123" t="str">
        <f>VLOOKUP(D119,Poeng!$B$10:$AE$252,Poeng!AE$1,FALSE)</f>
        <v>-</v>
      </c>
      <c r="I119" s="124" t="str">
        <f>VLOOKUP(D119,Poeng!$B$10:$BE$252,Poeng!BE$1,FALSE)</f>
        <v>Unclassified</v>
      </c>
      <c r="J119" s="80"/>
      <c r="K119" s="281"/>
      <c r="L119" s="796"/>
      <c r="M119" s="816"/>
      <c r="N119" s="83"/>
      <c r="O119" s="123" t="str">
        <f>VLOOKUP(D119,Poeng!$B$10:$BC$252,Poeng!AF$1,FALSE)</f>
        <v>-</v>
      </c>
      <c r="P119" s="123" t="str">
        <f>VLOOKUP(D119,Poeng!$B$10:$BH$252,Poeng!BH$1,FALSE)</f>
        <v>Unclassified</v>
      </c>
      <c r="Q119" s="744"/>
      <c r="R119" s="745"/>
      <c r="S119" s="738"/>
      <c r="T119" s="319"/>
      <c r="U119" s="83"/>
      <c r="V119" s="123" t="str">
        <f>VLOOKUP(D119,Poeng!$B$10:$BC$252,Poeng!AG$1,FALSE)</f>
        <v>-</v>
      </c>
      <c r="W119" s="123" t="str">
        <f>VLOOKUP(D119,Poeng!$B$10:$BK$252,Poeng!BK$1,FALSE)</f>
        <v>Unclassified</v>
      </c>
      <c r="X119" s="81"/>
      <c r="Y119" s="80"/>
      <c r="Z119" s="738"/>
      <c r="AA119" s="133"/>
      <c r="AB119" s="864"/>
      <c r="AC119" s="107">
        <f t="shared" si="12"/>
        <v>1</v>
      </c>
      <c r="AD119" s="3" t="e">
        <f>VLOOKUP(K119,'Assessment Details'!$O$45:$P$48,2,FALSE)</f>
        <v>#N/A</v>
      </c>
      <c r="AE119" s="3" t="e">
        <f>VLOOKUP(R119,'Assessment Details'!$O$45:$P$48,2,FALSE)</f>
        <v>#N/A</v>
      </c>
      <c r="AF119" s="3" t="e">
        <f>VLOOKUP(Y119,'Assessment Details'!$O$45:$P$48,2,FALSE)</f>
        <v>#N/A</v>
      </c>
      <c r="AI119" s="3"/>
      <c r="AJ119" s="3"/>
      <c r="AK119" s="3"/>
      <c r="AL119" s="3"/>
      <c r="AM119" s="3"/>
      <c r="AN119" s="3"/>
      <c r="AO119" s="3"/>
      <c r="AP119" s="3"/>
      <c r="AS119" s="23"/>
      <c r="AT119" s="23"/>
      <c r="AU119" s="23"/>
      <c r="AV119" s="23"/>
      <c r="AW119" s="23"/>
      <c r="AX119" s="23"/>
      <c r="AZ119" s="864"/>
    </row>
    <row r="120" spans="1:52" x14ac:dyDescent="0.25">
      <c r="A120" s="1077">
        <v>111</v>
      </c>
      <c r="B120" s="1078" t="s">
        <v>69</v>
      </c>
      <c r="C120" s="1083" t="str">
        <f t="shared" si="19"/>
        <v>Mat 01</v>
      </c>
      <c r="D120" s="824" t="s">
        <v>772</v>
      </c>
      <c r="E120" s="861" t="str">
        <f>VLOOKUP(D120,Poeng!$B$10:$R$252,Poeng!E$1,FALSE)</f>
        <v>Reduction of greenhouse gas emissions</v>
      </c>
      <c r="F120" s="122">
        <f>VLOOKUP(D120,Poeng!$B$10:$AB$252,Poeng!AB$1,FALSE)</f>
        <v>3</v>
      </c>
      <c r="G120" s="43"/>
      <c r="H120" s="123">
        <f>VLOOKUP(D120,Poeng!$B$10:$AE$252,Poeng!AE$1,FALSE)</f>
        <v>0</v>
      </c>
      <c r="I120" s="124" t="str">
        <f>VLOOKUP(D120,Poeng!$B$10:$BE$252,Poeng!BE$1,FALSE)</f>
        <v>Good</v>
      </c>
      <c r="J120" s="80"/>
      <c r="K120" s="281"/>
      <c r="L120" s="796"/>
      <c r="M120" s="816"/>
      <c r="N120" s="83"/>
      <c r="O120" s="123">
        <f>VLOOKUP(D120,Poeng!$B$10:$BC$252,Poeng!AF$1,FALSE)</f>
        <v>0</v>
      </c>
      <c r="P120" s="123" t="str">
        <f>VLOOKUP(D120,Poeng!$B$10:$BH$252,Poeng!BH$1,FALSE)</f>
        <v>Good</v>
      </c>
      <c r="Q120" s="744"/>
      <c r="R120" s="745"/>
      <c r="S120" s="738"/>
      <c r="T120" s="319"/>
      <c r="U120" s="83"/>
      <c r="V120" s="123">
        <f>VLOOKUP(D120,Poeng!$B$10:$BC$252,Poeng!AG$1,FALSE)</f>
        <v>0</v>
      </c>
      <c r="W120" s="123" t="str">
        <f>VLOOKUP(D120,Poeng!$B$10:$BK$252,Poeng!BK$1,FALSE)</f>
        <v>Good</v>
      </c>
      <c r="X120" s="81"/>
      <c r="Y120" s="80"/>
      <c r="Z120" s="738"/>
      <c r="AA120" s="133"/>
      <c r="AB120" s="864"/>
      <c r="AC120" s="107">
        <f t="shared" si="12"/>
        <v>1</v>
      </c>
      <c r="AD120" s="3" t="e">
        <f>VLOOKUP(K120,'Assessment Details'!$O$45:$P$48,2,FALSE)</f>
        <v>#N/A</v>
      </c>
      <c r="AE120" s="3" t="e">
        <f>VLOOKUP(R120,'Assessment Details'!$O$45:$P$48,2,FALSE)</f>
        <v>#N/A</v>
      </c>
      <c r="AF120" s="3" t="e">
        <f>VLOOKUP(Y120,'Assessment Details'!$O$45:$P$48,2,FALSE)</f>
        <v>#N/A</v>
      </c>
      <c r="AI120" s="3"/>
      <c r="AJ120" s="3"/>
      <c r="AK120" s="3"/>
      <c r="AL120" s="3"/>
      <c r="AM120" s="3"/>
      <c r="AN120" s="3"/>
      <c r="AO120" s="3"/>
      <c r="AP120" s="3"/>
      <c r="AS120" s="23"/>
      <c r="AT120" s="23"/>
      <c r="AU120" s="23"/>
      <c r="AV120" s="23"/>
      <c r="AW120" s="23"/>
      <c r="AX120" s="23"/>
      <c r="AZ120" s="864"/>
    </row>
    <row r="121" spans="1:52" x14ac:dyDescent="0.25">
      <c r="A121" s="1077">
        <v>112</v>
      </c>
      <c r="B121" s="1078" t="s">
        <v>69</v>
      </c>
      <c r="C121" s="1083" t="str">
        <f t="shared" si="19"/>
        <v>Mat 01</v>
      </c>
      <c r="D121" s="19" t="s">
        <v>773</v>
      </c>
      <c r="E121" s="861" t="str">
        <f>VLOOKUP(D121,Poeng!$B$10:$R$252,Poeng!E$1,FALSE)</f>
        <v>Life cycle assessment of the building</v>
      </c>
      <c r="F121" s="122">
        <f>VLOOKUP(D121,Poeng!$B$10:$AB$252,Poeng!AB$1,FALSE)</f>
        <v>2</v>
      </c>
      <c r="G121" s="43"/>
      <c r="H121" s="123">
        <f>VLOOKUP(D121,Poeng!$B$10:$AE$252,Poeng!AE$1,FALSE)</f>
        <v>0</v>
      </c>
      <c r="I121" s="124" t="str">
        <f>VLOOKUP(D121,Poeng!$B$10:$BE$252,Poeng!BE$1,FALSE)</f>
        <v>N/A</v>
      </c>
      <c r="J121" s="80"/>
      <c r="K121" s="281"/>
      <c r="L121" s="796"/>
      <c r="M121" s="816"/>
      <c r="N121" s="83"/>
      <c r="O121" s="123">
        <f>VLOOKUP(D121,Poeng!$B$10:$BC$252,Poeng!AF$1,FALSE)</f>
        <v>0</v>
      </c>
      <c r="P121" s="123" t="str">
        <f>VLOOKUP(D121,Poeng!$B$10:$BH$252,Poeng!BH$1,FALSE)</f>
        <v>N/A</v>
      </c>
      <c r="Q121" s="744"/>
      <c r="R121" s="745"/>
      <c r="S121" s="738"/>
      <c r="T121" s="319"/>
      <c r="U121" s="83"/>
      <c r="V121" s="123">
        <f>VLOOKUP(D121,Poeng!$B$10:$BC$252,Poeng!AG$1,FALSE)</f>
        <v>0</v>
      </c>
      <c r="W121" s="123" t="str">
        <f>VLOOKUP(D121,Poeng!$B$10:$BK$252,Poeng!BK$1,FALSE)</f>
        <v>N/A</v>
      </c>
      <c r="X121" s="81"/>
      <c r="Y121" s="80"/>
      <c r="Z121" s="738"/>
      <c r="AC121" s="107">
        <f t="shared" si="12"/>
        <v>1</v>
      </c>
      <c r="AD121" s="3" t="e">
        <f>VLOOKUP(K121,'Assessment Details'!$O$45:$P$48,2,FALSE)</f>
        <v>#N/A</v>
      </c>
      <c r="AE121" s="3" t="e">
        <f>VLOOKUP(R121,'Assessment Details'!$O$45:$P$48,2,FALSE)</f>
        <v>#N/A</v>
      </c>
      <c r="AF121" s="3" t="e">
        <f>VLOOKUP(Y121,'Assessment Details'!$O$45:$P$48,2,FALSE)</f>
        <v>#N/A</v>
      </c>
    </row>
    <row r="122" spans="1:52" ht="15" customHeight="1" x14ac:dyDescent="0.25">
      <c r="A122" s="1077">
        <v>113</v>
      </c>
      <c r="B122" s="1078" t="s">
        <v>69</v>
      </c>
      <c r="C122" s="1089" t="s">
        <v>479</v>
      </c>
      <c r="D122" s="824" t="s">
        <v>479</v>
      </c>
      <c r="E122" s="979" t="str">
        <f>VLOOKUP(D122,Poeng!$B$10:$R$257,Poeng!E$1,FALSE)</f>
        <v>Mat 02 Environmental impacts from construction products - product requirements</v>
      </c>
      <c r="F122" s="865">
        <f>VLOOKUP(D122,Poeng!$B$10:$AB$257,Poeng!AB$1,FALSE)</f>
        <v>3</v>
      </c>
      <c r="G122" s="1001"/>
      <c r="H122" s="866" t="str">
        <f>VLOOKUP(D122,Poeng!$B$10:$AI$257,Poeng!AI$1,FALSE)&amp;" c. "&amp;ROUND(VLOOKUP(D122,Poeng!$B$10:$AE$257,Poeng!AE$1,FALSE)*100,1)&amp;" %"</f>
        <v>0 c. 0 %</v>
      </c>
      <c r="I122" s="924" t="str">
        <f>VLOOKUP(D122,Poeng!$B$10:$BE$257,Poeng!BE$1,FALSE)</f>
        <v>N/A</v>
      </c>
      <c r="J122" s="80"/>
      <c r="K122" s="281"/>
      <c r="L122" s="796"/>
      <c r="M122" s="816"/>
      <c r="N122" s="1001"/>
      <c r="O122" s="877" t="str">
        <f>VLOOKUP(D122,Poeng!$B$10:$BC$257,Poeng!AJ$1,FALSE)&amp;" c. "&amp;ROUND(VLOOKUP(D122,Poeng!$B$10:$BC$257,Poeng!AF$1,FALSE)*100,1)&amp;" %"</f>
        <v>0 c. 0 %</v>
      </c>
      <c r="P122" s="123" t="str">
        <f>VLOOKUP(D122,Poeng!$B$10:$BH$257,Poeng!BH$1,FALSE)</f>
        <v>N/A</v>
      </c>
      <c r="Q122" s="744"/>
      <c r="R122" s="745"/>
      <c r="S122" s="738"/>
      <c r="T122" s="319"/>
      <c r="U122" s="1001"/>
      <c r="V122" s="877" t="str">
        <f>VLOOKUP(D122,Poeng!$B$10:$BC$257,Poeng!AK$1,FALSE)&amp;" c. "&amp;ROUND(VLOOKUP(D122,Poeng!$B$10:$BC$257,Poeng!AG$1,FALSE)*100,1)&amp;" %"</f>
        <v>0 c. 0 %</v>
      </c>
      <c r="W122" s="123" t="str">
        <f>VLOOKUP(D122,Poeng!$B$10:$BK$257,Poeng!BK$1,FALSE)</f>
        <v>N/A</v>
      </c>
      <c r="X122" s="81"/>
      <c r="Y122" s="80"/>
      <c r="Z122" s="738"/>
      <c r="AA122" s="133"/>
      <c r="AB122" s="640"/>
      <c r="AC122" s="107">
        <f t="shared" si="12"/>
        <v>1</v>
      </c>
      <c r="AD122" s="3" t="e">
        <f>VLOOKUP(K122,'Assessment Details'!$O$45:$P$48,2,FALSE)</f>
        <v>#N/A</v>
      </c>
      <c r="AE122" s="3" t="e">
        <f>VLOOKUP(R122,'Assessment Details'!$O$45:$P$48,2,FALSE)</f>
        <v>#N/A</v>
      </c>
      <c r="AF122" s="3" t="e">
        <f>VLOOKUP(Y122,'Assessment Details'!$O$45:$P$48,2,FALSE)</f>
        <v>#N/A</v>
      </c>
      <c r="AI122" s="70"/>
      <c r="AJ122" s="671"/>
      <c r="AK122" s="70"/>
      <c r="AL122" s="70"/>
      <c r="AM122" s="70"/>
      <c r="AN122" s="70"/>
      <c r="AO122" s="70"/>
      <c r="AP122" s="70"/>
      <c r="AS122" s="23"/>
      <c r="AT122" s="23"/>
      <c r="AU122" s="23"/>
      <c r="AV122" s="23"/>
      <c r="AW122" s="23"/>
      <c r="AX122" s="23"/>
      <c r="AZ122" s="640"/>
    </row>
    <row r="123" spans="1:52" ht="30" x14ac:dyDescent="0.25">
      <c r="A123" s="1077">
        <v>114</v>
      </c>
      <c r="B123" s="1078" t="s">
        <v>69</v>
      </c>
      <c r="C123" s="1083" t="str">
        <f t="shared" si="19"/>
        <v>Mat 02</v>
      </c>
      <c r="D123" s="19" t="s">
        <v>774</v>
      </c>
      <c r="E123" s="1072" t="str">
        <f>VLOOKUP(D123,Poeng!$B$10:$R$252,Poeng!E$1,FALSE)</f>
        <v>Minimum req: absence of environmental toxins (EU taxonomy requirement: criterion 1)</v>
      </c>
      <c r="F123" s="122" t="str">
        <f>VLOOKUP(D123,Poeng!$B$10:$AB$252,Poeng!AB$1,FALSE)</f>
        <v>Yes/No</v>
      </c>
      <c r="G123" s="43"/>
      <c r="H123" s="123" t="str">
        <f>VLOOKUP(D123,Poeng!$B$10:$AE$252,Poeng!AE$1,FALSE)</f>
        <v>-</v>
      </c>
      <c r="I123" s="124" t="str">
        <f>VLOOKUP(D123,Poeng!$B$10:$BE$252,Poeng!BE$1,FALSE)</f>
        <v>Unclassified</v>
      </c>
      <c r="J123" s="80"/>
      <c r="K123" s="281"/>
      <c r="L123" s="796"/>
      <c r="M123" s="816"/>
      <c r="N123" s="83"/>
      <c r="O123" s="123" t="str">
        <f>VLOOKUP(D123,Poeng!$B$10:$BC$252,Poeng!AF$1,FALSE)</f>
        <v>-</v>
      </c>
      <c r="P123" s="123" t="str">
        <f>VLOOKUP(D123,Poeng!$B$10:$BH$252,Poeng!BH$1,FALSE)</f>
        <v>Unclassified</v>
      </c>
      <c r="Q123" s="744"/>
      <c r="R123" s="745"/>
      <c r="S123" s="738"/>
      <c r="T123" s="319"/>
      <c r="U123" s="83"/>
      <c r="V123" s="123" t="str">
        <f>VLOOKUP(D123,Poeng!$B$10:$BC$252,Poeng!AG$1,FALSE)</f>
        <v>-</v>
      </c>
      <c r="W123" s="123" t="str">
        <f>VLOOKUP(D123,Poeng!$B$10:$BK$252,Poeng!BK$1,FALSE)</f>
        <v>Unclassified</v>
      </c>
      <c r="X123" s="81"/>
      <c r="Y123" s="80"/>
      <c r="Z123" s="738"/>
      <c r="AC123" s="107">
        <f t="shared" si="12"/>
        <v>1</v>
      </c>
      <c r="AD123" s="3" t="e">
        <f>VLOOKUP(K123,'Assessment Details'!$O$45:$P$48,2,FALSE)</f>
        <v>#N/A</v>
      </c>
      <c r="AE123" s="3" t="e">
        <f>VLOOKUP(R123,'Assessment Details'!$O$45:$P$48,2,FALSE)</f>
        <v>#N/A</v>
      </c>
      <c r="AF123" s="3" t="e">
        <f>VLOOKUP(Y123,'Assessment Details'!$O$45:$P$48,2,FALSE)</f>
        <v>#N/A</v>
      </c>
    </row>
    <row r="124" spans="1:52" x14ac:dyDescent="0.25">
      <c r="A124" s="1077">
        <v>115</v>
      </c>
      <c r="B124" s="1078" t="s">
        <v>69</v>
      </c>
      <c r="C124" s="1083" t="str">
        <f t="shared" si="19"/>
        <v>Mat 02</v>
      </c>
      <c r="D124" s="19" t="s">
        <v>775</v>
      </c>
      <c r="E124" s="861" t="str">
        <f>VLOOKUP(D124,Poeng!$B$10:$R$252,Poeng!E$1,FALSE)</f>
        <v xml:space="preserve">EPD for construction products </v>
      </c>
      <c r="F124" s="122">
        <f>VLOOKUP(D124,Poeng!$B$10:$AB$252,Poeng!AB$1,FALSE)</f>
        <v>1</v>
      </c>
      <c r="G124" s="43"/>
      <c r="H124" s="123">
        <f>VLOOKUP(D124,Poeng!$B$10:$AE$252,Poeng!AE$1,FALSE)</f>
        <v>0</v>
      </c>
      <c r="I124" s="124" t="str">
        <f>VLOOKUP(D124,Poeng!$B$10:$BE$252,Poeng!BE$1,FALSE)</f>
        <v>N/A</v>
      </c>
      <c r="J124" s="80"/>
      <c r="K124" s="281"/>
      <c r="L124" s="796"/>
      <c r="M124" s="816"/>
      <c r="N124" s="83"/>
      <c r="O124" s="123">
        <f>VLOOKUP(D124,Poeng!$B$10:$BC$252,Poeng!AF$1,FALSE)</f>
        <v>0</v>
      </c>
      <c r="P124" s="123" t="str">
        <f>VLOOKUP(D124,Poeng!$B$10:$BH$252,Poeng!BH$1,FALSE)</f>
        <v>N/A</v>
      </c>
      <c r="Q124" s="744"/>
      <c r="R124" s="745"/>
      <c r="S124" s="738"/>
      <c r="T124" s="319"/>
      <c r="U124" s="83"/>
      <c r="V124" s="123">
        <f>VLOOKUP(D124,Poeng!$B$10:$BC$252,Poeng!AG$1,FALSE)</f>
        <v>0</v>
      </c>
      <c r="W124" s="123" t="str">
        <f>VLOOKUP(D124,Poeng!$B$10:$BK$252,Poeng!BK$1,FALSE)</f>
        <v>N/A</v>
      </c>
      <c r="X124" s="81"/>
      <c r="Y124" s="80"/>
      <c r="Z124" s="738"/>
      <c r="AC124" s="107">
        <f t="shared" si="12"/>
        <v>1</v>
      </c>
      <c r="AD124" s="3" t="e">
        <f>VLOOKUP(K124,'Assessment Details'!$O$45:$P$48,2,FALSE)</f>
        <v>#N/A</v>
      </c>
      <c r="AE124" s="3" t="e">
        <f>VLOOKUP(R124,'Assessment Details'!$O$45:$P$48,2,FALSE)</f>
        <v>#N/A</v>
      </c>
      <c r="AF124" s="3" t="e">
        <f>VLOOKUP(Y124,'Assessment Details'!$O$45:$P$48,2,FALSE)</f>
        <v>#N/A</v>
      </c>
    </row>
    <row r="125" spans="1:52" x14ac:dyDescent="0.25">
      <c r="A125" s="1077">
        <v>116</v>
      </c>
      <c r="B125" s="1078" t="s">
        <v>69</v>
      </c>
      <c r="C125" s="1083" t="str">
        <f t="shared" si="19"/>
        <v>Mat 02</v>
      </c>
      <c r="D125" s="19" t="s">
        <v>776</v>
      </c>
      <c r="E125" s="861" t="str">
        <f>VLOOKUP(D125,Poeng!$B$10:$R$252,Poeng!E$1,FALSE)</f>
        <v xml:space="preserve">Performance requirements for construction products </v>
      </c>
      <c r="F125" s="122">
        <f>VLOOKUP(D125,Poeng!$B$10:$AB$252,Poeng!AB$1,FALSE)</f>
        <v>2</v>
      </c>
      <c r="G125" s="43"/>
      <c r="H125" s="123">
        <f>VLOOKUP(D125,Poeng!$B$10:$AE$252,Poeng!AE$1,FALSE)</f>
        <v>0</v>
      </c>
      <c r="I125" s="124" t="str">
        <f>VLOOKUP(D125,Poeng!$B$10:$BE$252,Poeng!BE$1,FALSE)</f>
        <v>N/A</v>
      </c>
      <c r="J125" s="80"/>
      <c r="K125" s="281"/>
      <c r="L125" s="796"/>
      <c r="M125" s="816"/>
      <c r="N125" s="83"/>
      <c r="O125" s="123">
        <f>VLOOKUP(D125,Poeng!$B$10:$BC$252,Poeng!AF$1,FALSE)</f>
        <v>0</v>
      </c>
      <c r="P125" s="123" t="str">
        <f>VLOOKUP(D125,Poeng!$B$10:$BH$252,Poeng!BH$1,FALSE)</f>
        <v>N/A</v>
      </c>
      <c r="Q125" s="744"/>
      <c r="R125" s="745"/>
      <c r="S125" s="1096"/>
      <c r="T125" s="319"/>
      <c r="U125" s="83"/>
      <c r="V125" s="123">
        <f>VLOOKUP(D125,Poeng!$B$10:$BC$252,Poeng!AG$1,FALSE)</f>
        <v>0</v>
      </c>
      <c r="W125" s="123" t="str">
        <f>VLOOKUP(D125,Poeng!$B$10:$BK$252,Poeng!BK$1,FALSE)</f>
        <v>N/A</v>
      </c>
      <c r="X125" s="81"/>
      <c r="Y125" s="80"/>
      <c r="Z125" s="1096"/>
      <c r="AC125" s="107">
        <f t="shared" si="12"/>
        <v>1</v>
      </c>
      <c r="AD125" s="3" t="e">
        <f>VLOOKUP(K125,'Assessment Details'!$O$45:$P$48,2,FALSE)</f>
        <v>#N/A</v>
      </c>
      <c r="AE125" s="3" t="e">
        <f>VLOOKUP(R125,'Assessment Details'!$O$45:$P$48,2,FALSE)</f>
        <v>#N/A</v>
      </c>
      <c r="AF125" s="3" t="e">
        <f>VLOOKUP(Y125,'Assessment Details'!$O$45:$P$48,2,FALSE)</f>
        <v>#N/A</v>
      </c>
    </row>
    <row r="126" spans="1:52" x14ac:dyDescent="0.25">
      <c r="A126" s="1077">
        <v>117</v>
      </c>
      <c r="B126" s="1078" t="s">
        <v>69</v>
      </c>
      <c r="C126" s="924" t="s">
        <v>175</v>
      </c>
      <c r="D126" s="824" t="s">
        <v>175</v>
      </c>
      <c r="E126" s="860" t="str">
        <f>VLOOKUP(D126,Poeng!$B$10:$R$252,Poeng!E$1,FALSE)</f>
        <v>Mat 03 Responsible sourcing of construction products</v>
      </c>
      <c r="F126" s="865">
        <f>VLOOKUP(D126,Poeng!$B$10:$AB$252,Poeng!AB$1,FALSE)</f>
        <v>3</v>
      </c>
      <c r="G126" s="1001"/>
      <c r="H126" s="866" t="str">
        <f>VLOOKUP(D126,Poeng!$B$10:$AI$252,Poeng!AI$1,FALSE)&amp;" c. "&amp;ROUND(VLOOKUP(D126,Poeng!$B$10:$AE$252,Poeng!AE$1,FALSE)*100,1)&amp;" %"</f>
        <v>0 c. 0 %</v>
      </c>
      <c r="I126" s="924" t="str">
        <f>VLOOKUP(D126,Poeng!$B$10:$BE$252,Poeng!BE$1,FALSE)</f>
        <v>N/A</v>
      </c>
      <c r="J126" s="80"/>
      <c r="K126" s="281"/>
      <c r="L126" s="796"/>
      <c r="M126" s="816"/>
      <c r="N126" s="1001"/>
      <c r="O126" s="877" t="str">
        <f>VLOOKUP(D126,Poeng!$B$10:$BC$252,Poeng!AJ$1,FALSE)&amp;" c. "&amp;ROUND(VLOOKUP(D126,Poeng!$B$10:$BC$252,Poeng!AF$1,FALSE)*100,1)&amp;" %"</f>
        <v>0 c. 0 %</v>
      </c>
      <c r="P126" s="123" t="str">
        <f>VLOOKUP(D126,Poeng!$B$10:$BH$252,Poeng!BH$1,FALSE)</f>
        <v>N/A</v>
      </c>
      <c r="Q126" s="744"/>
      <c r="R126" s="745"/>
      <c r="S126" s="738"/>
      <c r="T126" s="319"/>
      <c r="U126" s="1001"/>
      <c r="V126" s="877" t="str">
        <f>VLOOKUP(D126,Poeng!$B$10:$BC$252,Poeng!AK$1,FALSE)&amp;" c. "&amp;ROUND(VLOOKUP(D126,Poeng!$B$10:$BC$252,Poeng!AG$1,FALSE)*100,1)&amp;" %"</f>
        <v>0 c. 0 %</v>
      </c>
      <c r="W126" s="123" t="str">
        <f>VLOOKUP(D126,Poeng!$B$10:$BK$252,Poeng!BK$1,FALSE)</f>
        <v>N/A</v>
      </c>
      <c r="X126" s="81"/>
      <c r="Y126" s="80"/>
      <c r="Z126" s="738"/>
      <c r="AA126" s="133"/>
      <c r="AB126" s="640" t="s">
        <v>14</v>
      </c>
      <c r="AC126" s="107">
        <f t="shared" si="12"/>
        <v>1</v>
      </c>
      <c r="AD126" s="3" t="e">
        <f>VLOOKUP(K126,'Assessment Details'!$O$45:$P$48,2,FALSE)</f>
        <v>#N/A</v>
      </c>
      <c r="AE126" s="3" t="e">
        <f>VLOOKUP(R126,'Assessment Details'!$O$45:$P$48,2,FALSE)</f>
        <v>#N/A</v>
      </c>
      <c r="AF126" s="3" t="e">
        <f>VLOOKUP(Y126,'Assessment Details'!$O$45:$P$48,2,FALSE)</f>
        <v>#N/A</v>
      </c>
      <c r="AI126" s="70"/>
      <c r="AJ126" s="671" t="s">
        <v>158</v>
      </c>
      <c r="AK126" s="70"/>
      <c r="AL126" s="70"/>
      <c r="AM126" s="70"/>
      <c r="AN126" s="70"/>
      <c r="AO126" s="70"/>
      <c r="AP126" s="70"/>
      <c r="AS126" s="23" t="str">
        <f t="shared" si="13"/>
        <v>N/A</v>
      </c>
      <c r="AT126" s="23" t="str">
        <f t="shared" si="14"/>
        <v>N/A</v>
      </c>
      <c r="AU126" s="23" t="str">
        <f t="shared" si="15"/>
        <v>N/A</v>
      </c>
      <c r="AV126" s="23"/>
      <c r="AW126" s="23"/>
      <c r="AX126" s="23"/>
      <c r="AZ126" s="640"/>
    </row>
    <row r="127" spans="1:52" x14ac:dyDescent="0.25">
      <c r="A127" s="1077">
        <v>118</v>
      </c>
      <c r="B127" s="1078" t="s">
        <v>69</v>
      </c>
      <c r="C127" s="1083" t="str">
        <f t="shared" si="19"/>
        <v>Mat 03</v>
      </c>
      <c r="D127" s="19" t="s">
        <v>777</v>
      </c>
      <c r="E127" s="861" t="str">
        <f>VLOOKUP(D127,Poeng!$B$10:$R$252,Poeng!E$1,FALSE)</f>
        <v>Minimum req: legal and sustainable timber</v>
      </c>
      <c r="F127" s="122" t="str">
        <f>VLOOKUP(D127,Poeng!$B$10:$AB$252,Poeng!AB$1,FALSE)</f>
        <v>Yes/No</v>
      </c>
      <c r="G127" s="43"/>
      <c r="H127" s="123" t="str">
        <f>VLOOKUP(D127,Poeng!$B$10:$AE$252,Poeng!AE$1,FALSE)</f>
        <v>-</v>
      </c>
      <c r="I127" s="124" t="str">
        <f>VLOOKUP(D127,Poeng!$B$10:$BE$252,Poeng!BE$1,FALSE)</f>
        <v>Unclassified</v>
      </c>
      <c r="J127" s="80"/>
      <c r="K127" s="281"/>
      <c r="L127" s="796"/>
      <c r="M127" s="816"/>
      <c r="N127" s="83"/>
      <c r="O127" s="123" t="str">
        <f>VLOOKUP(D127,Poeng!$B$10:$BC$252,Poeng!AF$1,FALSE)</f>
        <v>-</v>
      </c>
      <c r="P127" s="123" t="str">
        <f>VLOOKUP(D127,Poeng!$B$10:$BH$252,Poeng!BH$1,FALSE)</f>
        <v>Unclassified</v>
      </c>
      <c r="Q127" s="744"/>
      <c r="R127" s="745"/>
      <c r="S127" s="738"/>
      <c r="T127" s="319"/>
      <c r="U127" s="83"/>
      <c r="V127" s="123" t="str">
        <f>VLOOKUP(D127,Poeng!$B$10:$BC$252,Poeng!AG$1,FALSE)</f>
        <v>-</v>
      </c>
      <c r="W127" s="123" t="str">
        <f>VLOOKUP(D127,Poeng!$B$10:$BK$252,Poeng!BK$1,FALSE)</f>
        <v>Unclassified</v>
      </c>
      <c r="X127" s="81"/>
      <c r="Y127" s="80"/>
      <c r="Z127" s="738"/>
      <c r="AC127" s="107">
        <f t="shared" si="12"/>
        <v>1</v>
      </c>
      <c r="AD127" s="3" t="e">
        <f>VLOOKUP(K127,'Assessment Details'!$O$45:$P$48,2,FALSE)</f>
        <v>#N/A</v>
      </c>
      <c r="AE127" s="3" t="e">
        <f>VLOOKUP(R127,'Assessment Details'!$O$45:$P$48,2,FALSE)</f>
        <v>#N/A</v>
      </c>
      <c r="AF127" s="3" t="e">
        <f>VLOOKUP(Y127,'Assessment Details'!$O$45:$P$48,2,FALSE)</f>
        <v>#N/A</v>
      </c>
    </row>
    <row r="128" spans="1:52" x14ac:dyDescent="0.25">
      <c r="A128" s="1077">
        <v>119</v>
      </c>
      <c r="B128" s="1078" t="s">
        <v>69</v>
      </c>
      <c r="C128" s="1083" t="str">
        <f t="shared" si="19"/>
        <v>Mat 03</v>
      </c>
      <c r="D128" s="19" t="s">
        <v>778</v>
      </c>
      <c r="E128" s="861" t="str">
        <f>VLOOKUP(D128,Poeng!$B$10:$R$252,Poeng!E$1,FALSE)</f>
        <v>Enabling sustainable procurement</v>
      </c>
      <c r="F128" s="122">
        <f>VLOOKUP(D128,Poeng!$B$10:$AB$252,Poeng!AB$1,FALSE)</f>
        <v>1</v>
      </c>
      <c r="G128" s="43"/>
      <c r="H128" s="123">
        <f>VLOOKUP(D128,Poeng!$B$10:$AE$252,Poeng!AE$1,FALSE)</f>
        <v>0</v>
      </c>
      <c r="I128" s="124" t="str">
        <f>VLOOKUP(D128,Poeng!$B$10:$BE$252,Poeng!BE$1,FALSE)</f>
        <v>N/A</v>
      </c>
      <c r="J128" s="80"/>
      <c r="K128" s="281"/>
      <c r="L128" s="796"/>
      <c r="M128" s="816"/>
      <c r="N128" s="83"/>
      <c r="O128" s="123">
        <f>VLOOKUP(D128,Poeng!$B$10:$BC$252,Poeng!AF$1,FALSE)</f>
        <v>0</v>
      </c>
      <c r="P128" s="123" t="str">
        <f>VLOOKUP(D128,Poeng!$B$10:$BH$252,Poeng!BH$1,FALSE)</f>
        <v>N/A</v>
      </c>
      <c r="Q128" s="744"/>
      <c r="R128" s="745"/>
      <c r="S128" s="738"/>
      <c r="T128" s="319"/>
      <c r="U128" s="83"/>
      <c r="V128" s="123">
        <f>VLOOKUP(D128,Poeng!$B$10:$BC$252,Poeng!AG$1,FALSE)</f>
        <v>0</v>
      </c>
      <c r="W128" s="123" t="str">
        <f>VLOOKUP(D128,Poeng!$B$10:$BK$252,Poeng!BK$1,FALSE)</f>
        <v>N/A</v>
      </c>
      <c r="X128" s="81"/>
      <c r="Y128" s="80"/>
      <c r="Z128" s="738"/>
      <c r="AC128" s="107">
        <f t="shared" si="12"/>
        <v>1</v>
      </c>
      <c r="AD128" s="3" t="e">
        <f>VLOOKUP(K128,'Assessment Details'!$O$45:$P$48,2,FALSE)</f>
        <v>#N/A</v>
      </c>
      <c r="AE128" s="3" t="e">
        <f>VLOOKUP(R128,'Assessment Details'!$O$45:$P$48,2,FALSE)</f>
        <v>#N/A</v>
      </c>
      <c r="AF128" s="3" t="e">
        <f>VLOOKUP(Y128,'Assessment Details'!$O$45:$P$48,2,FALSE)</f>
        <v>#N/A</v>
      </c>
    </row>
    <row r="129" spans="1:52" x14ac:dyDescent="0.25">
      <c r="A129" s="1077">
        <v>120</v>
      </c>
      <c r="B129" s="1078" t="s">
        <v>69</v>
      </c>
      <c r="C129" s="1083" t="str">
        <f t="shared" si="19"/>
        <v>Mat 03</v>
      </c>
      <c r="D129" s="19" t="s">
        <v>779</v>
      </c>
      <c r="E129" s="861" t="str">
        <f>VLOOKUP(D129,Poeng!$B$10:$R$252,Poeng!E$1,FALSE)</f>
        <v>Responsible sourcing of relevant materials</v>
      </c>
      <c r="F129" s="122">
        <f>VLOOKUP(D129,Poeng!$B$10:$AB$252,Poeng!AB$1,FALSE)</f>
        <v>2</v>
      </c>
      <c r="G129" s="43"/>
      <c r="H129" s="123">
        <f>VLOOKUP(D129,Poeng!$B$10:$AE$252,Poeng!AE$1,FALSE)</f>
        <v>0</v>
      </c>
      <c r="I129" s="124" t="str">
        <f>VLOOKUP(D129,Poeng!$B$10:$BE$252,Poeng!BE$1,FALSE)</f>
        <v>N/A</v>
      </c>
      <c r="J129" s="1097"/>
      <c r="K129" s="281"/>
      <c r="L129" s="796"/>
      <c r="M129" s="816"/>
      <c r="N129" s="83"/>
      <c r="O129" s="123">
        <f>VLOOKUP(D129,Poeng!$B$10:$BC$252,Poeng!AF$1,FALSE)</f>
        <v>0</v>
      </c>
      <c r="P129" s="123" t="str">
        <f>VLOOKUP(D129,Poeng!$B$10:$BH$252,Poeng!BH$1,FALSE)</f>
        <v>N/A</v>
      </c>
      <c r="Q129" s="744"/>
      <c r="R129" s="745"/>
      <c r="S129" s="738"/>
      <c r="T129" s="319"/>
      <c r="U129" s="83"/>
      <c r="V129" s="123">
        <f>VLOOKUP(D129,Poeng!$B$10:$BC$252,Poeng!AG$1,FALSE)</f>
        <v>0</v>
      </c>
      <c r="W129" s="123" t="str">
        <f>VLOOKUP(D129,Poeng!$B$10:$BK$252,Poeng!BK$1,FALSE)</f>
        <v>N/A</v>
      </c>
      <c r="X129" s="81"/>
      <c r="Y129" s="80"/>
      <c r="Z129" s="738"/>
      <c r="AC129" s="107">
        <f t="shared" si="12"/>
        <v>1</v>
      </c>
      <c r="AD129" s="3" t="e">
        <f>VLOOKUP(K129,'Assessment Details'!$O$45:$P$48,2,FALSE)</f>
        <v>#N/A</v>
      </c>
      <c r="AE129" s="3" t="e">
        <f>VLOOKUP(R129,'Assessment Details'!$O$45:$P$48,2,FALSE)</f>
        <v>#N/A</v>
      </c>
      <c r="AF129" s="3" t="e">
        <f>VLOOKUP(Y129,'Assessment Details'!$O$45:$P$48,2,FALSE)</f>
        <v>#N/A</v>
      </c>
    </row>
    <row r="130" spans="1:52" x14ac:dyDescent="0.25">
      <c r="A130" s="1077">
        <v>121</v>
      </c>
      <c r="B130" s="1078" t="s">
        <v>69</v>
      </c>
      <c r="C130" s="924" t="s">
        <v>176</v>
      </c>
      <c r="D130" s="824" t="s">
        <v>176</v>
      </c>
      <c r="E130" s="860" t="str">
        <f>VLOOKUP(D130,Poeng!$B$10:$R$252,Poeng!E$1,FALSE)</f>
        <v>Mat 05 Designing for durability and climate adaption</v>
      </c>
      <c r="F130" s="865">
        <f>VLOOKUP(D130,Poeng!$B$10:$AB$252,Poeng!AB$1,FALSE)</f>
        <v>4</v>
      </c>
      <c r="G130" s="1001"/>
      <c r="H130" s="866" t="str">
        <f>VLOOKUP(D130,Poeng!$B$10:$AI$252,Poeng!AI$1,FALSE)&amp;" c. "&amp;ROUND(VLOOKUP(D130,Poeng!$B$10:$AE$252,Poeng!AE$1,FALSE)*100,1)&amp;" %"</f>
        <v>0 c. 0 %</v>
      </c>
      <c r="I130" s="924" t="str">
        <f>VLOOKUP(D130,Poeng!$B$10:$BE$252,Poeng!BE$1,FALSE)</f>
        <v>N/A</v>
      </c>
      <c r="J130" s="80"/>
      <c r="K130" s="281"/>
      <c r="L130" s="796"/>
      <c r="M130" s="816"/>
      <c r="N130" s="1001"/>
      <c r="O130" s="877" t="str">
        <f>VLOOKUP(D130,Poeng!$B$10:$BC$252,Poeng!AJ$1,FALSE)&amp;" c. "&amp;ROUND(VLOOKUP(D130,Poeng!$B$10:$BC$252,Poeng!AF$1,FALSE)*100,1)&amp;" %"</f>
        <v>0 c. 0 %</v>
      </c>
      <c r="P130" s="123" t="str">
        <f>VLOOKUP(D130,Poeng!$B$10:$BH$252,Poeng!BH$1,FALSE)</f>
        <v>N/A</v>
      </c>
      <c r="Q130" s="744"/>
      <c r="R130" s="745"/>
      <c r="S130" s="738"/>
      <c r="T130" s="319"/>
      <c r="U130" s="1001"/>
      <c r="V130" s="877" t="str">
        <f>VLOOKUP(D130,Poeng!$B$10:$BC$252,Poeng!AK$1,FALSE)&amp;" c. "&amp;ROUND(VLOOKUP(D130,Poeng!$B$10:$BC$252,Poeng!AG$1,FALSE)*100,1)&amp;" %"</f>
        <v>0 c. 0 %</v>
      </c>
      <c r="W130" s="123" t="str">
        <f>VLOOKUP(D130,Poeng!$B$10:$BK$252,Poeng!BK$1,FALSE)</f>
        <v>N/A</v>
      </c>
      <c r="X130" s="81"/>
      <c r="Y130" s="80"/>
      <c r="Z130" s="738"/>
      <c r="AA130" s="133"/>
      <c r="AB130" s="640" t="s">
        <v>13</v>
      </c>
      <c r="AC130" s="107">
        <f t="shared" si="12"/>
        <v>1</v>
      </c>
      <c r="AD130" s="3" t="e">
        <f>VLOOKUP(K130,'Assessment Details'!$O$45:$P$48,2,FALSE)</f>
        <v>#N/A</v>
      </c>
      <c r="AE130" s="3" t="e">
        <f>VLOOKUP(R130,'Assessment Details'!$O$45:$P$48,2,FALSE)</f>
        <v>#N/A</v>
      </c>
      <c r="AF130" s="3" t="e">
        <f>VLOOKUP(Y130,'Assessment Details'!$O$45:$P$48,2,FALSE)</f>
        <v>#N/A</v>
      </c>
      <c r="AI130" s="70" t="str">
        <f>ais_ja</f>
        <v>Ja</v>
      </c>
      <c r="AJ130" s="671" t="s">
        <v>159</v>
      </c>
      <c r="AK130" s="648" t="s">
        <v>407</v>
      </c>
      <c r="AL130" s="648" t="s">
        <v>411</v>
      </c>
      <c r="AM130" s="648" t="s">
        <v>409</v>
      </c>
      <c r="AN130" s="70"/>
      <c r="AO130" s="70"/>
      <c r="AP130" s="70"/>
      <c r="AR130" s="1" t="s">
        <v>13</v>
      </c>
      <c r="AS130" s="23" t="str">
        <f t="shared" si="13"/>
        <v>N/A</v>
      </c>
      <c r="AT130" s="23" t="str">
        <f t="shared" si="14"/>
        <v>N/A</v>
      </c>
      <c r="AU130" s="23" t="str">
        <f t="shared" si="15"/>
        <v>N/A</v>
      </c>
      <c r="AV130" s="23"/>
      <c r="AW130" s="23"/>
      <c r="AX130" s="23"/>
      <c r="AZ130" s="642"/>
    </row>
    <row r="131" spans="1:52" x14ac:dyDescent="0.25">
      <c r="A131" s="1077">
        <v>122</v>
      </c>
      <c r="B131" s="1078" t="s">
        <v>69</v>
      </c>
      <c r="C131" s="1083" t="str">
        <f t="shared" si="19"/>
        <v>Mat 05</v>
      </c>
      <c r="D131" s="824" t="s">
        <v>780</v>
      </c>
      <c r="E131" s="861" t="str">
        <f>VLOOKUP(D131,Poeng!$B$10:$R$252,Poeng!E$1,FALSE)</f>
        <v>Pre-requisite: risk analysis</v>
      </c>
      <c r="F131" s="122" t="str">
        <f>VLOOKUP(D131,Poeng!$B$10:$AB$252,Poeng!AB$1,FALSE)</f>
        <v>Yes/No</v>
      </c>
      <c r="G131" s="43"/>
      <c r="H131" s="123" t="str">
        <f>VLOOKUP(D131,Poeng!$B$10:$AE$252,Poeng!AE$1,FALSE)</f>
        <v>-</v>
      </c>
      <c r="I131" s="124" t="str">
        <f>VLOOKUP(D131,Poeng!$B$10:$BE$252,Poeng!BE$1,FALSE)</f>
        <v>N/A</v>
      </c>
      <c r="J131" s="80"/>
      <c r="K131" s="281"/>
      <c r="L131" s="796"/>
      <c r="M131" s="816"/>
      <c r="N131" s="83"/>
      <c r="O131" s="123" t="str">
        <f>VLOOKUP(D131,Poeng!$B$10:$BC$252,Poeng!AF$1,FALSE)</f>
        <v>-</v>
      </c>
      <c r="P131" s="123" t="str">
        <f>VLOOKUP(D131,Poeng!$B$10:$BH$252,Poeng!BH$1,FALSE)</f>
        <v>N/A</v>
      </c>
      <c r="Q131" s="744"/>
      <c r="R131" s="745"/>
      <c r="S131" s="738"/>
      <c r="T131" s="319"/>
      <c r="U131" s="83"/>
      <c r="V131" s="123" t="str">
        <f>VLOOKUP(D131,Poeng!$B$10:$BC$252,Poeng!AG$1,FALSE)</f>
        <v>-</v>
      </c>
      <c r="W131" s="123" t="str">
        <f>VLOOKUP(D131,Poeng!$B$10:$BK$252,Poeng!BK$1,FALSE)</f>
        <v>N/A</v>
      </c>
      <c r="X131" s="81"/>
      <c r="Y131" s="80"/>
      <c r="Z131" s="738"/>
      <c r="AA131" s="133"/>
      <c r="AB131" s="714"/>
      <c r="AC131" s="107">
        <f t="shared" si="12"/>
        <v>1</v>
      </c>
      <c r="AD131" s="3" t="e">
        <f>VLOOKUP(K131,'Assessment Details'!$O$45:$P$48,2,FALSE)</f>
        <v>#N/A</v>
      </c>
      <c r="AE131" s="3" t="e">
        <f>VLOOKUP(R131,'Assessment Details'!$O$45:$P$48,2,FALSE)</f>
        <v>#N/A</v>
      </c>
      <c r="AF131" s="3" t="e">
        <f>VLOOKUP(Y131,'Assessment Details'!$O$45:$P$48,2,FALSE)</f>
        <v>#N/A</v>
      </c>
      <c r="AI131" s="70"/>
      <c r="AJ131" s="671"/>
      <c r="AK131" s="648"/>
      <c r="AL131" s="648"/>
      <c r="AM131" s="648"/>
      <c r="AN131" s="70"/>
      <c r="AO131" s="70"/>
      <c r="AP131" s="70"/>
      <c r="AS131" s="23"/>
      <c r="AT131" s="23"/>
      <c r="AU131" s="23"/>
      <c r="AV131" s="23"/>
      <c r="AW131" s="23"/>
      <c r="AX131" s="23"/>
      <c r="AZ131" s="715"/>
    </row>
    <row r="132" spans="1:52" x14ac:dyDescent="0.25">
      <c r="A132" s="1077">
        <v>123</v>
      </c>
      <c r="B132" s="1078" t="s">
        <v>69</v>
      </c>
      <c r="C132" s="1083" t="str">
        <f t="shared" si="19"/>
        <v>Mat 05</v>
      </c>
      <c r="D132" s="824" t="s">
        <v>781</v>
      </c>
      <c r="E132" s="861" t="str">
        <f>VLOOKUP(D132,Poeng!$B$10:$R$252,Poeng!E$1,FALSE)</f>
        <v>Protect vulnerable parts of the building from damage</v>
      </c>
      <c r="F132" s="122">
        <f>VLOOKUP(D132,Poeng!$B$10:$AB$252,Poeng!AB$1,FALSE)</f>
        <v>1</v>
      </c>
      <c r="G132" s="1074"/>
      <c r="H132" s="123">
        <f>VLOOKUP(D132,Poeng!$B$10:$AE$252,Poeng!AE$1,FALSE)</f>
        <v>0</v>
      </c>
      <c r="I132" s="124" t="str">
        <f>VLOOKUP(D132,Poeng!$B$10:$BE$252,Poeng!BE$1,FALSE)</f>
        <v>N/A</v>
      </c>
      <c r="J132" s="80"/>
      <c r="K132" s="281"/>
      <c r="L132" s="796"/>
      <c r="M132" s="816"/>
      <c r="N132" s="83"/>
      <c r="O132" s="123">
        <f>VLOOKUP(D132,Poeng!$B$10:$BC$252,Poeng!AF$1,FALSE)</f>
        <v>0</v>
      </c>
      <c r="P132" s="123" t="str">
        <f>VLOOKUP(D132,Poeng!$B$10:$BH$252,Poeng!BH$1,FALSE)</f>
        <v>N/A</v>
      </c>
      <c r="Q132" s="744"/>
      <c r="R132" s="745"/>
      <c r="S132" s="738"/>
      <c r="T132" s="319"/>
      <c r="U132" s="83"/>
      <c r="V132" s="123">
        <f>VLOOKUP(D132,Poeng!$B$10:$BC$252,Poeng!AG$1,FALSE)</f>
        <v>0</v>
      </c>
      <c r="W132" s="123" t="str">
        <f>VLOOKUP(D132,Poeng!$B$10:$BK$252,Poeng!BK$1,FALSE)</f>
        <v>N/A</v>
      </c>
      <c r="X132" s="81"/>
      <c r="Y132" s="80"/>
      <c r="Z132" s="738"/>
      <c r="AA132" s="133"/>
      <c r="AB132" s="714"/>
      <c r="AC132" s="107">
        <f t="shared" si="12"/>
        <v>1</v>
      </c>
      <c r="AD132" s="3" t="e">
        <f>VLOOKUP(K132,'Assessment Details'!$O$45:$P$48,2,FALSE)</f>
        <v>#N/A</v>
      </c>
      <c r="AE132" s="3" t="e">
        <f>VLOOKUP(R132,'Assessment Details'!$O$45:$P$48,2,FALSE)</f>
        <v>#N/A</v>
      </c>
      <c r="AF132" s="3" t="e">
        <f>VLOOKUP(Y132,'Assessment Details'!$O$45:$P$48,2,FALSE)</f>
        <v>#N/A</v>
      </c>
      <c r="AI132" s="70"/>
      <c r="AJ132" s="671"/>
      <c r="AK132" s="648"/>
      <c r="AL132" s="648"/>
      <c r="AM132" s="648"/>
      <c r="AN132" s="70"/>
      <c r="AO132" s="70"/>
      <c r="AP132" s="70"/>
      <c r="AS132" s="23"/>
      <c r="AT132" s="23"/>
      <c r="AU132" s="23"/>
      <c r="AV132" s="23"/>
      <c r="AW132" s="23"/>
      <c r="AX132" s="23"/>
      <c r="AZ132" s="715"/>
    </row>
    <row r="133" spans="1:52" x14ac:dyDescent="0.25">
      <c r="A133" s="1077">
        <v>124</v>
      </c>
      <c r="B133" s="1078" t="s">
        <v>69</v>
      </c>
      <c r="C133" s="1083" t="str">
        <f t="shared" si="19"/>
        <v>Mat 05</v>
      </c>
      <c r="D133" s="824" t="s">
        <v>782</v>
      </c>
      <c r="E133" s="1072" t="str">
        <f>VLOOKUP(D133,Poeng!$B$10:$R$252,Poeng!E$1,FALSE)</f>
        <v xml:space="preserve">Protecting exposed parts of the building from material degradation </v>
      </c>
      <c r="F133" s="122">
        <f>VLOOKUP(D133,Poeng!$B$10:$AB$252,Poeng!AB$1,FALSE)</f>
        <v>1</v>
      </c>
      <c r="G133" s="1074"/>
      <c r="H133" s="123">
        <f>VLOOKUP(D133,Poeng!$B$10:$AE$252,Poeng!AE$1,FALSE)</f>
        <v>0</v>
      </c>
      <c r="I133" s="124" t="str">
        <f>VLOOKUP(D133,Poeng!$B$10:$BE$252,Poeng!BE$1,FALSE)</f>
        <v>N/A</v>
      </c>
      <c r="J133" s="80"/>
      <c r="K133" s="281"/>
      <c r="L133" s="796"/>
      <c r="M133" s="816"/>
      <c r="N133" s="83"/>
      <c r="O133" s="123">
        <f>VLOOKUP(D133,Poeng!$B$10:$BC$252,Poeng!AF$1,FALSE)</f>
        <v>0</v>
      </c>
      <c r="P133" s="123" t="str">
        <f>VLOOKUP(D133,Poeng!$B$10:$BH$252,Poeng!BH$1,FALSE)</f>
        <v>N/A</v>
      </c>
      <c r="Q133" s="744"/>
      <c r="R133" s="745"/>
      <c r="S133" s="738"/>
      <c r="T133" s="319"/>
      <c r="U133" s="83"/>
      <c r="V133" s="123">
        <f>VLOOKUP(D133,Poeng!$B$10:$BC$252,Poeng!AG$1,FALSE)</f>
        <v>0</v>
      </c>
      <c r="W133" s="123" t="str">
        <f>VLOOKUP(D133,Poeng!$B$10:$BK$252,Poeng!BK$1,FALSE)</f>
        <v>N/A</v>
      </c>
      <c r="X133" s="81"/>
      <c r="Y133" s="80"/>
      <c r="Z133" s="738"/>
      <c r="AA133" s="133"/>
      <c r="AB133" s="714"/>
      <c r="AC133" s="107">
        <f t="shared" si="12"/>
        <v>1</v>
      </c>
      <c r="AD133" s="3" t="e">
        <f>VLOOKUP(K133,'Assessment Details'!$O$45:$P$48,2,FALSE)</f>
        <v>#N/A</v>
      </c>
      <c r="AE133" s="3" t="e">
        <f>VLOOKUP(R133,'Assessment Details'!$O$45:$P$48,2,FALSE)</f>
        <v>#N/A</v>
      </c>
      <c r="AF133" s="3" t="e">
        <f>VLOOKUP(Y133,'Assessment Details'!$O$45:$P$48,2,FALSE)</f>
        <v>#N/A</v>
      </c>
      <c r="AI133" s="70"/>
      <c r="AJ133" s="671"/>
      <c r="AK133" s="648"/>
      <c r="AL133" s="648"/>
      <c r="AM133" s="648"/>
      <c r="AN133" s="70"/>
      <c r="AO133" s="70"/>
      <c r="AP133" s="70"/>
      <c r="AS133" s="23"/>
      <c r="AT133" s="23"/>
      <c r="AU133" s="23"/>
      <c r="AV133" s="23"/>
      <c r="AW133" s="23"/>
      <c r="AX133" s="23"/>
      <c r="AZ133" s="715"/>
    </row>
    <row r="134" spans="1:52" x14ac:dyDescent="0.25">
      <c r="A134" s="1077">
        <v>125</v>
      </c>
      <c r="B134" s="1078" t="s">
        <v>69</v>
      </c>
      <c r="C134" s="1083" t="str">
        <f t="shared" si="19"/>
        <v>Mat 05</v>
      </c>
      <c r="D134" s="824" t="s">
        <v>783</v>
      </c>
      <c r="E134" s="1072" t="str">
        <f>VLOOKUP(D134,Poeng!$B$10:$R$252,Poeng!E$1,FALSE)</f>
        <v>Control plan and moisture measurements</v>
      </c>
      <c r="F134" s="122">
        <f>VLOOKUP(D134,Poeng!$B$10:$AB$252,Poeng!AB$1,FALSE)</f>
        <v>1</v>
      </c>
      <c r="G134" s="1074"/>
      <c r="H134" s="123">
        <f>VLOOKUP(D134,Poeng!$B$10:$AE$252,Poeng!AE$1,FALSE)</f>
        <v>0</v>
      </c>
      <c r="I134" s="124" t="str">
        <f>VLOOKUP(D134,Poeng!$B$10:$BE$252,Poeng!BE$1,FALSE)</f>
        <v>Very Good</v>
      </c>
      <c r="J134" s="80"/>
      <c r="K134" s="281"/>
      <c r="L134" s="796"/>
      <c r="M134" s="816"/>
      <c r="N134" s="83"/>
      <c r="O134" s="123">
        <f>VLOOKUP(D134,Poeng!$B$10:$BC$252,Poeng!AF$1,FALSE)</f>
        <v>0</v>
      </c>
      <c r="P134" s="123" t="str">
        <f>VLOOKUP(D134,Poeng!$B$10:$BH$252,Poeng!BH$1,FALSE)</f>
        <v>Very Good</v>
      </c>
      <c r="Q134" s="744"/>
      <c r="R134" s="745"/>
      <c r="S134" s="738"/>
      <c r="T134" s="319"/>
      <c r="U134" s="83"/>
      <c r="V134" s="123">
        <f>VLOOKUP(D134,Poeng!$B$10:$BC$252,Poeng!AG$1,FALSE)</f>
        <v>0</v>
      </c>
      <c r="W134" s="123" t="str">
        <f>VLOOKUP(D134,Poeng!$B$10:$BK$252,Poeng!BK$1,FALSE)</f>
        <v>Very Good</v>
      </c>
      <c r="X134" s="81"/>
      <c r="Y134" s="80"/>
      <c r="Z134" s="738"/>
      <c r="AA134" s="133"/>
      <c r="AB134" s="714"/>
      <c r="AC134" s="107">
        <f t="shared" si="12"/>
        <v>1</v>
      </c>
      <c r="AD134" s="3" t="e">
        <f>VLOOKUP(K134,'Assessment Details'!$O$45:$P$48,2,FALSE)</f>
        <v>#N/A</v>
      </c>
      <c r="AE134" s="3" t="e">
        <f>VLOOKUP(R134,'Assessment Details'!$O$45:$P$48,2,FALSE)</f>
        <v>#N/A</v>
      </c>
      <c r="AF134" s="3" t="e">
        <f>VLOOKUP(Y134,'Assessment Details'!$O$45:$P$48,2,FALSE)</f>
        <v>#N/A</v>
      </c>
      <c r="AI134" s="70"/>
      <c r="AJ134" s="671"/>
      <c r="AK134" s="648"/>
      <c r="AL134" s="648"/>
      <c r="AM134" s="648"/>
      <c r="AN134" s="70"/>
      <c r="AO134" s="70"/>
      <c r="AP134" s="70"/>
      <c r="AS134" s="23"/>
      <c r="AT134" s="23"/>
      <c r="AU134" s="23"/>
      <c r="AV134" s="23"/>
      <c r="AW134" s="23"/>
      <c r="AX134" s="23"/>
      <c r="AZ134" s="715"/>
    </row>
    <row r="135" spans="1:52" x14ac:dyDescent="0.25">
      <c r="A135" s="1077">
        <v>126</v>
      </c>
      <c r="B135" s="1078" t="s">
        <v>69</v>
      </c>
      <c r="C135" s="1083" t="str">
        <f t="shared" si="19"/>
        <v>Mat 05</v>
      </c>
      <c r="D135" s="824" t="s">
        <v>896</v>
      </c>
      <c r="E135" s="861" t="str">
        <f>VLOOKUP(D135,Poeng!$B$10:$R$252,Poeng!E$1,FALSE)</f>
        <v>Construction under cover</v>
      </c>
      <c r="F135" s="122">
        <f>VLOOKUP(D135,Poeng!$B$10:$AB$252,Poeng!AB$1,FALSE)</f>
        <v>1</v>
      </c>
      <c r="G135" s="1074"/>
      <c r="H135" s="123">
        <f>VLOOKUP(D135,Poeng!$B$10:$AE$252,Poeng!AE$1,FALSE)</f>
        <v>0</v>
      </c>
      <c r="I135" s="124" t="str">
        <f>VLOOKUP(D135,Poeng!$B$10:$BE$252,Poeng!BE$1,FALSE)</f>
        <v>N/A</v>
      </c>
      <c r="J135" s="80"/>
      <c r="K135" s="281"/>
      <c r="L135" s="796"/>
      <c r="M135" s="816"/>
      <c r="N135" s="83"/>
      <c r="O135" s="123">
        <f>VLOOKUP(D135,Poeng!$B$10:$BC$252,Poeng!AF$1,FALSE)</f>
        <v>0</v>
      </c>
      <c r="P135" s="123" t="str">
        <f>VLOOKUP(D135,Poeng!$B$10:$BH$252,Poeng!BH$1,FALSE)</f>
        <v>N/A</v>
      </c>
      <c r="Q135" s="744"/>
      <c r="R135" s="745"/>
      <c r="S135" s="738"/>
      <c r="T135" s="319"/>
      <c r="U135" s="83"/>
      <c r="V135" s="123">
        <f>VLOOKUP(D135,Poeng!$B$10:$BC$252,Poeng!AG$1,FALSE)</f>
        <v>0</v>
      </c>
      <c r="W135" s="123" t="str">
        <f>VLOOKUP(D135,Poeng!$B$10:$BK$252,Poeng!BK$1,FALSE)</f>
        <v>N/A</v>
      </c>
      <c r="X135" s="81"/>
      <c r="Y135" s="80"/>
      <c r="Z135" s="738"/>
      <c r="AA135" s="133"/>
      <c r="AB135" s="714"/>
      <c r="AC135" s="107">
        <f t="shared" si="12"/>
        <v>1</v>
      </c>
      <c r="AD135" s="3" t="e">
        <f>VLOOKUP(K135,'Assessment Details'!$O$45:$P$48,2,FALSE)</f>
        <v>#N/A</v>
      </c>
      <c r="AE135" s="3" t="e">
        <f>VLOOKUP(R135,'Assessment Details'!$O$45:$P$48,2,FALSE)</f>
        <v>#N/A</v>
      </c>
      <c r="AF135" s="3" t="e">
        <f>VLOOKUP(Y135,'Assessment Details'!$O$45:$P$48,2,FALSE)</f>
        <v>#N/A</v>
      </c>
      <c r="AI135" s="70"/>
      <c r="AJ135" s="671"/>
      <c r="AK135" s="648"/>
      <c r="AL135" s="648"/>
      <c r="AM135" s="648"/>
      <c r="AN135" s="70"/>
      <c r="AO135" s="70"/>
      <c r="AP135" s="70"/>
      <c r="AS135" s="23"/>
      <c r="AT135" s="23"/>
      <c r="AU135" s="23"/>
      <c r="AV135" s="23"/>
      <c r="AW135" s="23"/>
      <c r="AX135" s="23"/>
      <c r="AZ135" s="715"/>
    </row>
    <row r="136" spans="1:52" x14ac:dyDescent="0.25">
      <c r="A136" s="1077">
        <v>127</v>
      </c>
      <c r="B136" s="1078" t="s">
        <v>69</v>
      </c>
      <c r="C136" s="924" t="s">
        <v>177</v>
      </c>
      <c r="D136" s="824" t="s">
        <v>177</v>
      </c>
      <c r="E136" s="860" t="str">
        <f>VLOOKUP(D136,Poeng!$B$10:$R$252,Poeng!E$1,FALSE)</f>
        <v>Mat 06 Material efficiency</v>
      </c>
      <c r="F136" s="865">
        <f>VLOOKUP(D136,Poeng!$B$10:$AB$252,Poeng!AB$1,FALSE)</f>
        <v>3</v>
      </c>
      <c r="G136" s="1001"/>
      <c r="H136" s="866" t="str">
        <f>VLOOKUP(D136,Poeng!$B$10:$AI$252,Poeng!AI$1,FALSE)&amp;" c. "&amp;ROUND(VLOOKUP(D136,Poeng!$B$10:$AE$252,Poeng!AE$1,FALSE)*100,1)&amp;" %"</f>
        <v>0 c. 0 %</v>
      </c>
      <c r="I136" s="924" t="str">
        <f>VLOOKUP(D136,Poeng!$B$10:$BE$252,Poeng!BE$1,FALSE)</f>
        <v>N/A</v>
      </c>
      <c r="J136" s="80"/>
      <c r="K136" s="281"/>
      <c r="L136" s="796"/>
      <c r="M136" s="816"/>
      <c r="N136" s="1001"/>
      <c r="O136" s="877" t="str">
        <f>VLOOKUP(D136,Poeng!$B$10:$BC$252,Poeng!AJ$1,FALSE)&amp;" c. "&amp;ROUND(VLOOKUP(D136,Poeng!$B$10:$BC$252,Poeng!AF$1,FALSE)*100,1)&amp;" %"</f>
        <v>0 c. 0 %</v>
      </c>
      <c r="P136" s="123" t="str">
        <f>VLOOKUP(D136,Poeng!$B$10:$BH$252,Poeng!BH$1,FALSE)</f>
        <v>N/A</v>
      </c>
      <c r="Q136" s="744"/>
      <c r="R136" s="745"/>
      <c r="S136" s="738"/>
      <c r="T136" s="319"/>
      <c r="U136" s="1001"/>
      <c r="V136" s="877" t="str">
        <f>VLOOKUP(D136,Poeng!$B$10:$BC$252,Poeng!AK$1,FALSE)&amp;" c. "&amp;ROUND(VLOOKUP(D136,Poeng!$B$10:$BC$252,Poeng!AG$1,FALSE)*100,1)&amp;" %"</f>
        <v>0 c. 0 %</v>
      </c>
      <c r="W136" s="123" t="str">
        <f>VLOOKUP(D136,Poeng!$B$10:$BK$252,Poeng!BK$1,FALSE)</f>
        <v>N/A</v>
      </c>
      <c r="X136" s="81"/>
      <c r="Y136" s="80"/>
      <c r="Z136" s="738"/>
      <c r="AA136" s="133"/>
      <c r="AB136" s="714"/>
      <c r="AC136" s="107">
        <f t="shared" si="12"/>
        <v>1</v>
      </c>
      <c r="AD136" s="3" t="e">
        <f>VLOOKUP(K136,'Assessment Details'!$O$45:$P$48,2,FALSE)</f>
        <v>#N/A</v>
      </c>
      <c r="AE136" s="3" t="e">
        <f>VLOOKUP(R136,'Assessment Details'!$O$45:$P$48,2,FALSE)</f>
        <v>#N/A</v>
      </c>
      <c r="AF136" s="3" t="e">
        <f>VLOOKUP(Y136,'Assessment Details'!$O$45:$P$48,2,FALSE)</f>
        <v>#N/A</v>
      </c>
      <c r="AI136" s="70"/>
      <c r="AJ136" s="671"/>
      <c r="AK136" s="648"/>
      <c r="AL136" s="648"/>
      <c r="AM136" s="648"/>
      <c r="AN136" s="70"/>
      <c r="AO136" s="70"/>
      <c r="AP136" s="70"/>
      <c r="AS136" s="23"/>
      <c r="AT136" s="23"/>
      <c r="AU136" s="23"/>
      <c r="AV136" s="23"/>
      <c r="AW136" s="23"/>
      <c r="AX136" s="23"/>
      <c r="AZ136" s="715"/>
    </row>
    <row r="137" spans="1:52" x14ac:dyDescent="0.25">
      <c r="A137" s="1077">
        <v>128</v>
      </c>
      <c r="B137" s="1078" t="s">
        <v>69</v>
      </c>
      <c r="C137" s="1083" t="str">
        <f>C136</f>
        <v>Mat 06</v>
      </c>
      <c r="D137" s="824" t="s">
        <v>1037</v>
      </c>
      <c r="E137" s="861" t="str">
        <f>VLOOKUP(D137,Poeng!$B$10:$R$252,Poeng!E$1,FALSE)</f>
        <v>Minimum req: mapping for component reuse - criterion 1</v>
      </c>
      <c r="F137" s="122" t="str">
        <f>VLOOKUP(D137,Poeng!$B$10:$AB$252,Poeng!AB$1,FALSE)</f>
        <v>Yes/No</v>
      </c>
      <c r="G137" s="43"/>
      <c r="H137" s="123" t="str">
        <f>VLOOKUP(D137,Poeng!$B$10:$AE$252,Poeng!AE$1,FALSE)</f>
        <v>-</v>
      </c>
      <c r="I137" s="124" t="str">
        <f>VLOOKUP(D137,Poeng!$B$10:$BE$252,Poeng!BE$1,FALSE)</f>
        <v>Unclassified</v>
      </c>
      <c r="J137" s="80"/>
      <c r="K137" s="281"/>
      <c r="L137" s="796"/>
      <c r="M137" s="816"/>
      <c r="N137" s="83"/>
      <c r="O137" s="123" t="str">
        <f>VLOOKUP(D137,Poeng!$B$10:$BC$252,Poeng!AF$1,FALSE)</f>
        <v>-</v>
      </c>
      <c r="P137" s="123" t="str">
        <f>VLOOKUP(D137,Poeng!$B$10:$BH$252,Poeng!BH$1,FALSE)</f>
        <v>Unclassified</v>
      </c>
      <c r="Q137" s="744"/>
      <c r="R137" s="745"/>
      <c r="S137" s="738"/>
      <c r="T137" s="319"/>
      <c r="U137" s="83"/>
      <c r="V137" s="123" t="str">
        <f>VLOOKUP(D137,Poeng!$B$10:$BC$252,Poeng!AG$1,FALSE)</f>
        <v>-</v>
      </c>
      <c r="W137" s="123" t="str">
        <f>VLOOKUP(D137,Poeng!$B$10:$BK$252,Poeng!BK$1,FALSE)</f>
        <v>Unclassified</v>
      </c>
      <c r="X137" s="81"/>
      <c r="Y137" s="80"/>
      <c r="Z137" s="738"/>
      <c r="AA137" s="133"/>
      <c r="AB137" s="864"/>
      <c r="AC137" s="107">
        <f t="shared" ref="AC137" si="20">IF(F137="",1,IF(F137=0,2,1))</f>
        <v>1</v>
      </c>
      <c r="AD137" s="3" t="e">
        <f>VLOOKUP(K137,'Assessment Details'!$O$45:$P$48,2,FALSE)</f>
        <v>#N/A</v>
      </c>
      <c r="AE137" s="3" t="e">
        <f>VLOOKUP(R137,'Assessment Details'!$O$45:$P$48,2,FALSE)</f>
        <v>#N/A</v>
      </c>
      <c r="AF137" s="3" t="e">
        <f>VLOOKUP(Y137,'Assessment Details'!$O$45:$P$48,2,FALSE)</f>
        <v>#N/A</v>
      </c>
      <c r="AI137" s="3"/>
      <c r="AJ137" s="3"/>
      <c r="AK137" s="727"/>
      <c r="AL137" s="727"/>
      <c r="AM137" s="727"/>
      <c r="AN137" s="3"/>
      <c r="AO137" s="3"/>
      <c r="AP137" s="3"/>
      <c r="AS137" s="23"/>
      <c r="AT137" s="23"/>
      <c r="AU137" s="23"/>
      <c r="AV137" s="23"/>
      <c r="AW137" s="23"/>
      <c r="AX137" s="23"/>
      <c r="AZ137" s="864"/>
    </row>
    <row r="138" spans="1:52" ht="30" x14ac:dyDescent="0.25">
      <c r="A138" s="1077">
        <v>129</v>
      </c>
      <c r="B138" s="1078" t="s">
        <v>69</v>
      </c>
      <c r="C138" s="1083" t="str">
        <f>C136</f>
        <v>Mat 06</v>
      </c>
      <c r="D138" s="19" t="s">
        <v>784</v>
      </c>
      <c r="E138" s="1072" t="str">
        <f>VLOOKUP(D138,Poeng!$B$10:$R$252,Poeng!E$1,FALSE)</f>
        <v>Mapping for component reuse and implementation (EU taxonomy requirement: criterion 1-3)</v>
      </c>
      <c r="F138" s="122">
        <f>VLOOKUP(D138,Poeng!$B$10:$AB$252,Poeng!AB$1,FALSE)</f>
        <v>1</v>
      </c>
      <c r="G138" s="43"/>
      <c r="H138" s="123">
        <f>VLOOKUP(D138,Poeng!$B$10:$AE$252,Poeng!AE$1,FALSE)</f>
        <v>0</v>
      </c>
      <c r="I138" s="124" t="str">
        <f>VLOOKUP(D138,Poeng!$B$10:$BE$252,Poeng!BE$1,FALSE)</f>
        <v>Unclassified</v>
      </c>
      <c r="J138" s="80"/>
      <c r="K138" s="281"/>
      <c r="L138" s="796"/>
      <c r="M138" s="816"/>
      <c r="N138" s="83"/>
      <c r="O138" s="123">
        <f>VLOOKUP(D138,Poeng!$B$10:$BC$252,Poeng!AF$1,FALSE)</f>
        <v>0</v>
      </c>
      <c r="P138" s="123" t="str">
        <f>VLOOKUP(D138,Poeng!$B$10:$BH$252,Poeng!BH$1,FALSE)</f>
        <v>Unclassified</v>
      </c>
      <c r="Q138" s="744"/>
      <c r="R138" s="745"/>
      <c r="S138" s="738"/>
      <c r="T138" s="319"/>
      <c r="U138" s="83"/>
      <c r="V138" s="123">
        <f>VLOOKUP(D138,Poeng!$B$10:$BC$252,Poeng!AG$1,FALSE)</f>
        <v>0</v>
      </c>
      <c r="W138" s="123" t="str">
        <f>VLOOKUP(D138,Poeng!$B$10:$BK$252,Poeng!BK$1,FALSE)</f>
        <v>Unclassified</v>
      </c>
      <c r="X138" s="81"/>
      <c r="Y138" s="80"/>
      <c r="Z138" s="738"/>
      <c r="AC138" s="107">
        <f t="shared" si="12"/>
        <v>1</v>
      </c>
      <c r="AD138" s="3" t="e">
        <f>VLOOKUP(K138,'Assessment Details'!$O$45:$P$48,2,FALSE)</f>
        <v>#N/A</v>
      </c>
      <c r="AE138" s="3" t="e">
        <f>VLOOKUP(R138,'Assessment Details'!$O$45:$P$48,2,FALSE)</f>
        <v>#N/A</v>
      </c>
      <c r="AF138" s="3" t="e">
        <f>VLOOKUP(Y138,'Assessment Details'!$O$45:$P$48,2,FALSE)</f>
        <v>#N/A</v>
      </c>
    </row>
    <row r="139" spans="1:52" x14ac:dyDescent="0.25">
      <c r="A139" s="1077">
        <v>130</v>
      </c>
      <c r="B139" s="1078" t="s">
        <v>69</v>
      </c>
      <c r="C139" s="1083" t="str">
        <f t="shared" si="19"/>
        <v>Mat 06</v>
      </c>
      <c r="D139" s="19" t="s">
        <v>785</v>
      </c>
      <c r="E139" s="861" t="str">
        <f>VLOOKUP(D139,Poeng!$B$10:$R$252,Poeng!E$1,FALSE)</f>
        <v>Material efficency</v>
      </c>
      <c r="F139" s="122">
        <f>VLOOKUP(D139,Poeng!$B$10:$AB$252,Poeng!AB$1,FALSE)</f>
        <v>1</v>
      </c>
      <c r="G139" s="43"/>
      <c r="H139" s="123">
        <f>VLOOKUP(D139,Poeng!$B$10:$AE$252,Poeng!AE$1,FALSE)</f>
        <v>0</v>
      </c>
      <c r="I139" s="124" t="str">
        <f>VLOOKUP(D139,Poeng!$B$10:$BE$252,Poeng!BE$1,FALSE)</f>
        <v>N/A</v>
      </c>
      <c r="J139" s="80"/>
      <c r="K139" s="281"/>
      <c r="L139" s="796"/>
      <c r="M139" s="816"/>
      <c r="N139" s="83"/>
      <c r="O139" s="123">
        <f>VLOOKUP(D139,Poeng!$B$10:$BC$252,Poeng!AF$1,FALSE)</f>
        <v>0</v>
      </c>
      <c r="P139" s="123" t="str">
        <f>VLOOKUP(D139,Poeng!$B$10:$BH$252,Poeng!BH$1,FALSE)</f>
        <v>N/A</v>
      </c>
      <c r="Q139" s="744"/>
      <c r="R139" s="745"/>
      <c r="S139" s="738"/>
      <c r="T139" s="319"/>
      <c r="U139" s="83"/>
      <c r="V139" s="123">
        <f>VLOOKUP(D139,Poeng!$B$10:$BC$252,Poeng!AG$1,FALSE)</f>
        <v>0</v>
      </c>
      <c r="W139" s="123" t="str">
        <f>VLOOKUP(D139,Poeng!$B$10:$BK$252,Poeng!BK$1,FALSE)</f>
        <v>N/A</v>
      </c>
      <c r="X139" s="81"/>
      <c r="Y139" s="80"/>
      <c r="Z139" s="738"/>
      <c r="AC139" s="107">
        <f t="shared" si="12"/>
        <v>1</v>
      </c>
      <c r="AD139" s="3" t="e">
        <f>VLOOKUP(K139,'Assessment Details'!$O$45:$P$48,2,FALSE)</f>
        <v>#N/A</v>
      </c>
      <c r="AE139" s="3" t="e">
        <f>VLOOKUP(R139,'Assessment Details'!$O$45:$P$48,2,FALSE)</f>
        <v>#N/A</v>
      </c>
      <c r="AF139" s="3" t="e">
        <f>VLOOKUP(Y139,'Assessment Details'!$O$45:$P$48,2,FALSE)</f>
        <v>#N/A</v>
      </c>
    </row>
    <row r="140" spans="1:52" x14ac:dyDescent="0.25">
      <c r="A140" s="1077">
        <v>131</v>
      </c>
      <c r="B140" s="1078" t="s">
        <v>69</v>
      </c>
      <c r="C140" s="1083" t="str">
        <f t="shared" si="19"/>
        <v>Mat 06</v>
      </c>
      <c r="D140" s="19" t="s">
        <v>786</v>
      </c>
      <c r="E140" s="861" t="str">
        <f>VLOOKUP(D140,Poeng!$B$10:$R$252,Poeng!E$1,FALSE)</f>
        <v>Reuse of extern building components</v>
      </c>
      <c r="F140" s="122">
        <f>VLOOKUP(D140,Poeng!$B$10:$AB$252,Poeng!AB$1,FALSE)</f>
        <v>1</v>
      </c>
      <c r="G140" s="43"/>
      <c r="H140" s="123">
        <f>VLOOKUP(D140,Poeng!$B$10:$AE$252,Poeng!AE$1,FALSE)</f>
        <v>0</v>
      </c>
      <c r="I140" s="124" t="str">
        <f>VLOOKUP(D140,Poeng!$B$10:$BE$252,Poeng!BE$1,FALSE)</f>
        <v>N/A</v>
      </c>
      <c r="J140" s="80"/>
      <c r="K140" s="281"/>
      <c r="L140" s="796"/>
      <c r="M140" s="816"/>
      <c r="N140" s="83"/>
      <c r="O140" s="123">
        <f>VLOOKUP(D140,Poeng!$B$10:$BC$252,Poeng!AF$1,FALSE)</f>
        <v>0</v>
      </c>
      <c r="P140" s="123" t="str">
        <f>VLOOKUP(D140,Poeng!$B$10:$BH$252,Poeng!BH$1,FALSE)</f>
        <v>N/A</v>
      </c>
      <c r="Q140" s="744"/>
      <c r="R140" s="745"/>
      <c r="S140" s="738"/>
      <c r="T140" s="319"/>
      <c r="U140" s="83"/>
      <c r="V140" s="123">
        <f>VLOOKUP(D140,Poeng!$B$10:$BC$252,Poeng!AG$1,FALSE)</f>
        <v>0</v>
      </c>
      <c r="W140" s="123" t="str">
        <f>VLOOKUP(D140,Poeng!$B$10:$BK$252,Poeng!BK$1,FALSE)</f>
        <v>N/A</v>
      </c>
      <c r="X140" s="81"/>
      <c r="Y140" s="80"/>
      <c r="Z140" s="738"/>
      <c r="AC140" s="107">
        <f t="shared" si="12"/>
        <v>1</v>
      </c>
      <c r="AD140" s="3" t="e">
        <f>VLOOKUP(K140,'Assessment Details'!$O$45:$P$48,2,FALSE)</f>
        <v>#N/A</v>
      </c>
      <c r="AE140" s="3" t="e">
        <f>VLOOKUP(R140,'Assessment Details'!$O$45:$P$48,2,FALSE)</f>
        <v>#N/A</v>
      </c>
      <c r="AF140" s="3" t="e">
        <f>VLOOKUP(Y140,'Assessment Details'!$O$45:$P$48,2,FALSE)</f>
        <v>#N/A</v>
      </c>
    </row>
    <row r="141" spans="1:52" x14ac:dyDescent="0.25">
      <c r="A141" s="1077">
        <v>132</v>
      </c>
      <c r="B141" s="1078" t="s">
        <v>69</v>
      </c>
      <c r="C141" s="924" t="s">
        <v>480</v>
      </c>
      <c r="D141" s="824" t="s">
        <v>480</v>
      </c>
      <c r="E141" s="860" t="str">
        <f>VLOOKUP(D141,Poeng!$B$10:$R$252,Poeng!E$1,FALSE)</f>
        <v>Mat 07 Design for disassembly and adaptability</v>
      </c>
      <c r="F141" s="865">
        <f>VLOOKUP(D141,Poeng!$B$10:$AB$252,Poeng!AB$1,FALSE)</f>
        <v>3</v>
      </c>
      <c r="G141" s="1001"/>
      <c r="H141" s="866" t="str">
        <f>VLOOKUP(D141,Poeng!$B$10:$AI$252,Poeng!AI$1,FALSE)&amp;" c. "&amp;ROUND(VLOOKUP(D141,Poeng!$B$10:$AE$252,Poeng!AE$1,FALSE)*100,1)&amp;" %"</f>
        <v>0 c. 0 %</v>
      </c>
      <c r="I141" s="924" t="str">
        <f>VLOOKUP(D141,Poeng!$B$10:$BE$252,Poeng!BE$1,FALSE)</f>
        <v>N/A</v>
      </c>
      <c r="J141" s="80"/>
      <c r="K141" s="281"/>
      <c r="L141" s="796"/>
      <c r="M141" s="816"/>
      <c r="N141" s="1001"/>
      <c r="O141" s="877" t="str">
        <f>VLOOKUP(D141,Poeng!$B$10:$BC$252,Poeng!AJ$1,FALSE)&amp;" c. "&amp;ROUND(VLOOKUP(D141,Poeng!$B$10:$BC$252,Poeng!AF$1,FALSE)*100,1)&amp;" %"</f>
        <v>0 c. 0 %</v>
      </c>
      <c r="P141" s="123" t="str">
        <f>VLOOKUP(D141,Poeng!$B$10:$BH$252,Poeng!BH$1,FALSE)</f>
        <v>N/A</v>
      </c>
      <c r="Q141" s="744"/>
      <c r="R141" s="745"/>
      <c r="S141" s="738"/>
      <c r="T141" s="319"/>
      <c r="U141" s="1001"/>
      <c r="V141" s="877" t="str">
        <f>VLOOKUP(D141,Poeng!$B$10:$BC$252,Poeng!AK$1,FALSE)&amp;" c. "&amp;ROUND(VLOOKUP(D141,Poeng!$B$10:$BC$252,Poeng!AG$1,FALSE)*100,1)&amp;" %"</f>
        <v>0 c. 0 %</v>
      </c>
      <c r="W141" s="123" t="str">
        <f>VLOOKUP(D141,Poeng!$B$10:$BK$252,Poeng!BK$1,FALSE)</f>
        <v>N/A</v>
      </c>
      <c r="X141" s="81"/>
      <c r="Y141" s="80"/>
      <c r="Z141" s="738"/>
      <c r="AA141" s="133"/>
      <c r="AB141" s="714"/>
      <c r="AC141" s="107">
        <f t="shared" si="12"/>
        <v>1</v>
      </c>
      <c r="AD141" s="3" t="e">
        <f>VLOOKUP(K141,'Assessment Details'!$O$45:$P$48,2,FALSE)</f>
        <v>#N/A</v>
      </c>
      <c r="AE141" s="3" t="e">
        <f>VLOOKUP(R141,'Assessment Details'!$O$45:$P$48,2,FALSE)</f>
        <v>#N/A</v>
      </c>
      <c r="AF141" s="3" t="e">
        <f>VLOOKUP(Y141,'Assessment Details'!$O$45:$P$48,2,FALSE)</f>
        <v>#N/A</v>
      </c>
      <c r="AI141" s="70"/>
      <c r="AJ141" s="671"/>
      <c r="AK141" s="648"/>
      <c r="AL141" s="648"/>
      <c r="AM141" s="648"/>
      <c r="AN141" s="70"/>
      <c r="AO141" s="70"/>
      <c r="AP141" s="70"/>
      <c r="AS141" s="23"/>
      <c r="AT141" s="23"/>
      <c r="AU141" s="23"/>
      <c r="AV141" s="23"/>
      <c r="AW141" s="23"/>
      <c r="AX141" s="23"/>
      <c r="AZ141" s="715"/>
    </row>
    <row r="142" spans="1:52" x14ac:dyDescent="0.25">
      <c r="A142" s="1077">
        <v>133</v>
      </c>
      <c r="B142" s="1078" t="s">
        <v>69</v>
      </c>
      <c r="C142" s="1083" t="str">
        <f t="shared" si="19"/>
        <v>Mat 07</v>
      </c>
      <c r="D142" s="19" t="s">
        <v>787</v>
      </c>
      <c r="E142" s="861" t="str">
        <f>VLOOKUP(D142,Poeng!$B$10:$R$252,Poeng!E$1,FALSE)</f>
        <v>Resource inventory</v>
      </c>
      <c r="F142" s="122">
        <f>VLOOKUP(D142,Poeng!$B$10:$AB$252,Poeng!AB$1,FALSE)</f>
        <v>1</v>
      </c>
      <c r="G142" s="43"/>
      <c r="H142" s="123">
        <f>VLOOKUP(D142,Poeng!$B$10:$AE$252,Poeng!AE$1,FALSE)</f>
        <v>0</v>
      </c>
      <c r="I142" s="124" t="str">
        <f>VLOOKUP(D142,Poeng!$B$10:$BE$252,Poeng!BE$1,FALSE)</f>
        <v>N/A</v>
      </c>
      <c r="J142" s="80"/>
      <c r="K142" s="281"/>
      <c r="L142" s="796"/>
      <c r="M142" s="816"/>
      <c r="N142" s="83"/>
      <c r="O142" s="123">
        <f>VLOOKUP(D142,Poeng!$B$10:$BC$252,Poeng!AF$1,FALSE)</f>
        <v>0</v>
      </c>
      <c r="P142" s="123" t="str">
        <f>VLOOKUP(D142,Poeng!$B$10:$BH$252,Poeng!BH$1,FALSE)</f>
        <v>N/A</v>
      </c>
      <c r="Q142" s="744"/>
      <c r="R142" s="745"/>
      <c r="S142" s="738"/>
      <c r="T142" s="319"/>
      <c r="U142" s="83"/>
      <c r="V142" s="123">
        <f>VLOOKUP(D142,Poeng!$B$10:$BC$252,Poeng!AG$1,FALSE)</f>
        <v>0</v>
      </c>
      <c r="W142" s="123" t="str">
        <f>VLOOKUP(D142,Poeng!$B$10:$BK$252,Poeng!BK$1,FALSE)</f>
        <v>N/A</v>
      </c>
      <c r="X142" s="81"/>
      <c r="Y142" s="80"/>
      <c r="Z142" s="738"/>
      <c r="AC142" s="107">
        <f t="shared" si="12"/>
        <v>1</v>
      </c>
      <c r="AD142" s="3" t="e">
        <f>VLOOKUP(K142,'Assessment Details'!$O$45:$P$48,2,FALSE)</f>
        <v>#N/A</v>
      </c>
      <c r="AE142" s="3" t="e">
        <f>VLOOKUP(R142,'Assessment Details'!$O$45:$P$48,2,FALSE)</f>
        <v>#N/A</v>
      </c>
      <c r="AF142" s="3" t="e">
        <f>VLOOKUP(Y142,'Assessment Details'!$O$45:$P$48,2,FALSE)</f>
        <v>#N/A</v>
      </c>
    </row>
    <row r="143" spans="1:52" ht="30" x14ac:dyDescent="0.25">
      <c r="A143" s="1077">
        <v>134</v>
      </c>
      <c r="B143" s="1078" t="s">
        <v>69</v>
      </c>
      <c r="C143" s="1088" t="str">
        <f t="shared" si="19"/>
        <v>Mat 07</v>
      </c>
      <c r="D143" s="19" t="s">
        <v>788</v>
      </c>
      <c r="E143" s="1072" t="str">
        <f>VLOOKUP(D143,Poeng!$B$10:$R$252,Poeng!E$1,FALSE)</f>
        <v>Design for disassembly and functional adaptability - recommendations (EU taxonomy requirement: criterion 2-6)</v>
      </c>
      <c r="F143" s="122">
        <f>VLOOKUP(D143,Poeng!$B$10:$AB$252,Poeng!AB$1,FALSE)</f>
        <v>1</v>
      </c>
      <c r="G143" s="43"/>
      <c r="H143" s="123">
        <f>VLOOKUP(D143,Poeng!$B$10:$AE$252,Poeng!AE$1,FALSE)</f>
        <v>0</v>
      </c>
      <c r="I143" s="124" t="str">
        <f>VLOOKUP(D143,Poeng!$B$10:$BE$252,Poeng!BE$1,FALSE)</f>
        <v>Very Good</v>
      </c>
      <c r="J143" s="80"/>
      <c r="K143" s="281"/>
      <c r="L143" s="796"/>
      <c r="M143" s="816"/>
      <c r="N143" s="83"/>
      <c r="O143" s="123">
        <f>VLOOKUP(D143,Poeng!$B$10:$BC$252,Poeng!AF$1,FALSE)</f>
        <v>0</v>
      </c>
      <c r="P143" s="123" t="str">
        <f>VLOOKUP(D143,Poeng!$B$10:$BH$252,Poeng!BH$1,FALSE)</f>
        <v>Very Good</v>
      </c>
      <c r="Q143" s="744"/>
      <c r="R143" s="745"/>
      <c r="S143" s="738"/>
      <c r="T143" s="319"/>
      <c r="U143" s="83"/>
      <c r="V143" s="123">
        <f>VLOOKUP(D143,Poeng!$B$10:$BC$252,Poeng!AG$1,FALSE)</f>
        <v>0</v>
      </c>
      <c r="W143" s="123" t="str">
        <f>VLOOKUP(D143,Poeng!$B$10:$BK$252,Poeng!BK$1,FALSE)</f>
        <v>Very Good</v>
      </c>
      <c r="X143" s="81"/>
      <c r="Y143" s="80"/>
      <c r="Z143" s="738"/>
      <c r="AC143" s="107">
        <f t="shared" ref="AC143:AC210" si="21">IF(F143="",1,IF(F143=0,2,1))</f>
        <v>1</v>
      </c>
      <c r="AD143" s="3" t="e">
        <f>VLOOKUP(K143,'Assessment Details'!$O$45:$P$48,2,FALSE)</f>
        <v>#N/A</v>
      </c>
      <c r="AE143" s="3" t="e">
        <f>VLOOKUP(R143,'Assessment Details'!$O$45:$P$48,2,FALSE)</f>
        <v>#N/A</v>
      </c>
      <c r="AF143" s="3" t="e">
        <f>VLOOKUP(Y143,'Assessment Details'!$O$45:$P$48,2,FALSE)</f>
        <v>#N/A</v>
      </c>
    </row>
    <row r="144" spans="1:52" ht="30" x14ac:dyDescent="0.25">
      <c r="A144" s="1077">
        <v>135</v>
      </c>
      <c r="B144" s="1078" t="s">
        <v>69</v>
      </c>
      <c r="C144" s="1083" t="str">
        <f t="shared" si="19"/>
        <v>Mat 07</v>
      </c>
      <c r="D144" s="19" t="s">
        <v>789</v>
      </c>
      <c r="E144" s="1072" t="str">
        <f>VLOOKUP(D144,Poeng!$B$10:$R$252,Poeng!E$1,FALSE)</f>
        <v>Disassembly and functional adaptability - implementation (EU taxonomy requirement: criterion 2-6)</v>
      </c>
      <c r="F144" s="122">
        <f>VLOOKUP(D144,Poeng!$B$10:$AB$252,Poeng!AB$1,FALSE)</f>
        <v>1</v>
      </c>
      <c r="G144" s="43"/>
      <c r="H144" s="123">
        <f>VLOOKUP(D144,Poeng!$B$10:$AE$252,Poeng!AE$1,FALSE)</f>
        <v>0</v>
      </c>
      <c r="I144" s="124" t="str">
        <f>VLOOKUP(D144,Poeng!$B$10:$BE$252,Poeng!BE$1,FALSE)</f>
        <v>Very Good</v>
      </c>
      <c r="J144" s="80"/>
      <c r="K144" s="281"/>
      <c r="L144" s="796"/>
      <c r="M144" s="816"/>
      <c r="N144" s="83"/>
      <c r="O144" s="123">
        <f>VLOOKUP(D144,Poeng!$B$10:$BC$252,Poeng!AF$1,FALSE)</f>
        <v>0</v>
      </c>
      <c r="P144" s="123" t="str">
        <f>VLOOKUP(D144,Poeng!$B$10:$BH$252,Poeng!BH$1,FALSE)</f>
        <v>Very Good</v>
      </c>
      <c r="Q144" s="744"/>
      <c r="R144" s="745"/>
      <c r="S144" s="738"/>
      <c r="T144" s="319"/>
      <c r="U144" s="83"/>
      <c r="V144" s="123">
        <f>VLOOKUP(D144,Poeng!$B$10:$BC$252,Poeng!AG$1,FALSE)</f>
        <v>0</v>
      </c>
      <c r="W144" s="123" t="str">
        <f>VLOOKUP(D144,Poeng!$B$10:$BK$252,Poeng!BK$1,FALSE)</f>
        <v>Very Good</v>
      </c>
      <c r="X144" s="81"/>
      <c r="Y144" s="80"/>
      <c r="Z144" s="738"/>
      <c r="AC144" s="107">
        <f t="shared" si="21"/>
        <v>1</v>
      </c>
      <c r="AD144" s="3" t="e">
        <f>VLOOKUP(K144,'Assessment Details'!$O$45:$P$48,2,FALSE)</f>
        <v>#N/A</v>
      </c>
      <c r="AE144" s="3" t="e">
        <f>VLOOKUP(R144,'Assessment Details'!$O$45:$P$48,2,FALSE)</f>
        <v>#N/A</v>
      </c>
      <c r="AF144" s="3" t="e">
        <f>VLOOKUP(Y144,'Assessment Details'!$O$45:$P$48,2,FALSE)</f>
        <v>#N/A</v>
      </c>
    </row>
    <row r="145" spans="1:52" ht="15.75" thickBot="1" x14ac:dyDescent="0.3">
      <c r="A145" s="1077">
        <v>136</v>
      </c>
      <c r="B145" s="1078" t="s">
        <v>69</v>
      </c>
      <c r="C145" s="1084"/>
      <c r="D145" s="824" t="s">
        <v>888</v>
      </c>
      <c r="E145" s="320" t="s">
        <v>109</v>
      </c>
      <c r="F145" s="125">
        <f>Mat_Credits</f>
        <v>21</v>
      </c>
      <c r="G145" s="131"/>
      <c r="H145" s="126">
        <f>Mat_cont_tot</f>
        <v>0</v>
      </c>
      <c r="I145" s="867" t="str">
        <f>"Credits achieved: "&amp;Mat_tot_user</f>
        <v>Credits achieved: 0</v>
      </c>
      <c r="J145" s="134"/>
      <c r="K145" s="282"/>
      <c r="L145" s="746"/>
      <c r="M145" s="816"/>
      <c r="N145" s="383"/>
      <c r="O145" s="126">
        <f>VLOOKUP(D145,Poeng!$B$10:$BC$252,Poeng!AF$1,FALSE)</f>
        <v>0</v>
      </c>
      <c r="P145" s="867" t="str">
        <f>"Credits achieved: "&amp;Mat_c_user</f>
        <v>Credits achieved: 0</v>
      </c>
      <c r="Q145" s="747"/>
      <c r="R145" s="748"/>
      <c r="S145" s="746"/>
      <c r="T145" s="319"/>
      <c r="U145" s="383"/>
      <c r="V145" s="126">
        <f>VLOOKUP(D145,Poeng!$B$10:$BC$252,Poeng!AG$1,FALSE)</f>
        <v>0</v>
      </c>
      <c r="W145" s="867" t="str">
        <f>"Credits achieved: "&amp;Mat_d_user</f>
        <v>Credits achieved: 0</v>
      </c>
      <c r="X145" s="382"/>
      <c r="Y145" s="136"/>
      <c r="Z145" s="746"/>
      <c r="AA145" s="133"/>
      <c r="AB145" s="641"/>
      <c r="AC145" s="107">
        <f t="shared" si="21"/>
        <v>1</v>
      </c>
      <c r="AD145" s="276">
        <v>0</v>
      </c>
      <c r="AE145" s="276">
        <v>0</v>
      </c>
      <c r="AF145" s="276">
        <v>0</v>
      </c>
      <c r="AI145" s="70"/>
      <c r="AJ145" s="671" t="s">
        <v>109</v>
      </c>
      <c r="AK145" s="70"/>
      <c r="AL145" s="70"/>
      <c r="AM145" s="70"/>
      <c r="AN145" s="70"/>
      <c r="AO145" s="70"/>
      <c r="AP145" s="70"/>
      <c r="AS145" s="23" t="str">
        <f t="shared" si="13"/>
        <v>N/A</v>
      </c>
      <c r="AT145" s="23" t="str">
        <f t="shared" si="14"/>
        <v>N/A</v>
      </c>
      <c r="AU145" s="23" t="str">
        <f t="shared" si="15"/>
        <v>N/A</v>
      </c>
      <c r="AV145" s="23"/>
      <c r="AW145" s="23"/>
      <c r="AX145" s="23"/>
      <c r="AZ145" s="641"/>
    </row>
    <row r="146" spans="1:52" x14ac:dyDescent="0.25">
      <c r="A146" s="1077">
        <v>137</v>
      </c>
      <c r="B146" s="1078" t="s">
        <v>69</v>
      </c>
      <c r="C146" s="1086"/>
      <c r="D146" s="824"/>
      <c r="E146" s="334"/>
      <c r="F146" s="322"/>
      <c r="G146" s="323"/>
      <c r="H146" s="322"/>
      <c r="I146" s="322"/>
      <c r="J146" s="324"/>
      <c r="K146" s="323"/>
      <c r="L146" s="749"/>
      <c r="M146" s="815"/>
      <c r="N146" s="325"/>
      <c r="O146" s="325"/>
      <c r="P146" s="749"/>
      <c r="Q146" s="749"/>
      <c r="R146" s="750"/>
      <c r="S146" s="1095"/>
      <c r="T146" s="326"/>
      <c r="U146" s="325"/>
      <c r="V146" s="325"/>
      <c r="W146" s="749"/>
      <c r="X146" s="324"/>
      <c r="Y146" s="325"/>
      <c r="Z146" s="1095"/>
      <c r="AA146" s="699"/>
      <c r="AB146" s="324"/>
      <c r="AC146" s="107">
        <f t="shared" si="21"/>
        <v>1</v>
      </c>
      <c r="AD146" s="278">
        <v>0</v>
      </c>
      <c r="AE146" s="278">
        <v>0</v>
      </c>
      <c r="AF146" s="278">
        <v>0</v>
      </c>
      <c r="AI146" s="70"/>
      <c r="AJ146" s="671"/>
      <c r="AK146" s="70"/>
      <c r="AL146" s="70"/>
      <c r="AM146" s="70"/>
      <c r="AN146" s="70"/>
      <c r="AO146" s="70"/>
      <c r="AP146" s="70"/>
      <c r="AS146" s="23" t="str">
        <f t="shared" si="13"/>
        <v>N/A</v>
      </c>
      <c r="AT146" s="23" t="str">
        <f t="shared" si="14"/>
        <v>N/A</v>
      </c>
      <c r="AU146" s="23" t="str">
        <f t="shared" si="15"/>
        <v>N/A</v>
      </c>
      <c r="AV146" s="23"/>
      <c r="AW146" s="23"/>
      <c r="AX146" s="23"/>
      <c r="AZ146" s="324"/>
    </row>
    <row r="147" spans="1:52" ht="18.75" x14ac:dyDescent="0.25">
      <c r="A147" s="1077">
        <v>138</v>
      </c>
      <c r="B147" s="1078" t="s">
        <v>70</v>
      </c>
      <c r="C147" s="1087"/>
      <c r="D147" s="824"/>
      <c r="E147" s="335" t="s">
        <v>57</v>
      </c>
      <c r="F147" s="315"/>
      <c r="G147" s="316"/>
      <c r="H147" s="336"/>
      <c r="I147" s="315"/>
      <c r="J147" s="328"/>
      <c r="K147" s="329"/>
      <c r="L147" s="752"/>
      <c r="M147" s="816"/>
      <c r="N147" s="339"/>
      <c r="O147" s="332"/>
      <c r="P147" s="742"/>
      <c r="Q147" s="753"/>
      <c r="R147" s="754"/>
      <c r="S147" s="755"/>
      <c r="T147" s="319"/>
      <c r="U147" s="339"/>
      <c r="V147" s="338"/>
      <c r="W147" s="742"/>
      <c r="X147" s="328"/>
      <c r="Y147" s="338"/>
      <c r="Z147" s="752"/>
      <c r="AA147" s="133"/>
      <c r="AB147" s="337"/>
      <c r="AC147" s="107">
        <f t="shared" si="21"/>
        <v>1</v>
      </c>
      <c r="AD147" s="275">
        <v>0</v>
      </c>
      <c r="AE147" s="275">
        <v>0</v>
      </c>
      <c r="AF147" s="275">
        <v>0</v>
      </c>
      <c r="AI147" s="70"/>
      <c r="AJ147" s="671" t="s">
        <v>57</v>
      </c>
      <c r="AK147" s="70"/>
      <c r="AL147" s="70"/>
      <c r="AM147" s="70"/>
      <c r="AN147" s="70"/>
      <c r="AO147" s="70"/>
      <c r="AP147" s="70"/>
      <c r="AS147" s="23" t="str">
        <f t="shared" si="13"/>
        <v>N/A</v>
      </c>
      <c r="AT147" s="23" t="str">
        <f t="shared" si="14"/>
        <v>N/A</v>
      </c>
      <c r="AU147" s="23" t="str">
        <f t="shared" si="15"/>
        <v>N/A</v>
      </c>
      <c r="AV147" s="23"/>
      <c r="AW147" s="23"/>
      <c r="AX147" s="23"/>
      <c r="AZ147" s="337"/>
    </row>
    <row r="148" spans="1:52" x14ac:dyDescent="0.25">
      <c r="A148" s="1077">
        <v>139</v>
      </c>
      <c r="B148" s="1078" t="s">
        <v>70</v>
      </c>
      <c r="C148" s="924" t="s">
        <v>178</v>
      </c>
      <c r="D148" s="824" t="s">
        <v>178</v>
      </c>
      <c r="E148" s="860" t="str">
        <f>VLOOKUP(D148,Poeng!$B$10:$R$252,Poeng!E$1,FALSE)</f>
        <v>Wst 01 Construction waste management</v>
      </c>
      <c r="F148" s="865">
        <f>VLOOKUP(D148,Poeng!$B$10:$AB$252,Poeng!AB$1,FALSE)</f>
        <v>5</v>
      </c>
      <c r="G148" s="1000"/>
      <c r="H148" s="866" t="str">
        <f>VLOOKUP(D148,Poeng!$B$10:$AI$252,Poeng!AI$1,FALSE)&amp;" c. "&amp;ROUND(VLOOKUP(D148,Poeng!$B$10:$AE$252,Poeng!AE$1,FALSE)*100,1)&amp;" %"</f>
        <v>0 c. 0 %</v>
      </c>
      <c r="I148" s="923" t="str">
        <f>VLOOKUP(D148,Poeng!$B$10:$BE$252,Poeng!BE$1,FALSE)</f>
        <v>N/A</v>
      </c>
      <c r="J148" s="874"/>
      <c r="K148" s="875"/>
      <c r="L148" s="876"/>
      <c r="M148" s="815"/>
      <c r="N148" s="1001"/>
      <c r="O148" s="1094" t="str">
        <f>VLOOKUP(D148,Poeng!$B$10:$BC$252,Poeng!AJ$1,FALSE)&amp;" c. "&amp;ROUND(VLOOKUP(D148,Poeng!$B$10:$BC$252,Poeng!AF$1,FALSE)*100,1)&amp;" %"</f>
        <v>0 c. 0 %</v>
      </c>
      <c r="P148" s="123" t="str">
        <f>VLOOKUP(D148,Poeng!$B$10:$BH$252,Poeng!BH$1,FALSE)</f>
        <v>N/A</v>
      </c>
      <c r="Q148" s="744"/>
      <c r="R148" s="745"/>
      <c r="S148" s="738"/>
      <c r="T148" s="319"/>
      <c r="U148" s="1001"/>
      <c r="V148" s="877" t="str">
        <f>VLOOKUP(D148,Poeng!$B$10:$BC$252,Poeng!AK$1,FALSE)&amp;" c. "&amp;ROUND(VLOOKUP(D148,Poeng!$B$10:$BC$252,Poeng!AG$1,FALSE)*100,1)&amp;" %"</f>
        <v>0 c. 0 %</v>
      </c>
      <c r="W148" s="123" t="str">
        <f>VLOOKUP(D148,Poeng!$B$10:$BK$252,Poeng!BK$1,FALSE)</f>
        <v>N/A</v>
      </c>
      <c r="X148" s="81"/>
      <c r="Y148" s="80"/>
      <c r="Z148" s="738"/>
      <c r="AA148" s="133"/>
      <c r="AB148" s="640" t="s">
        <v>14</v>
      </c>
      <c r="AC148" s="107">
        <f t="shared" si="21"/>
        <v>1</v>
      </c>
      <c r="AD148" s="3" t="e">
        <f>VLOOKUP(K148,'Assessment Details'!$O$45:$P$48,2,FALSE)</f>
        <v>#N/A</v>
      </c>
      <c r="AE148" s="3" t="e">
        <f>VLOOKUP(R148,'Assessment Details'!$O$45:$P$48,2,FALSE)</f>
        <v>#N/A</v>
      </c>
      <c r="AF148" s="3" t="e">
        <f>VLOOKUP(Y148,'Assessment Details'!$O$45:$P$48,2,FALSE)</f>
        <v>#N/A</v>
      </c>
      <c r="AI148" s="70"/>
      <c r="AJ148" s="671" t="s">
        <v>160</v>
      </c>
      <c r="AK148" s="70"/>
      <c r="AL148" s="70"/>
      <c r="AM148" s="70"/>
      <c r="AN148" s="70"/>
      <c r="AO148" s="70"/>
      <c r="AP148" s="70"/>
      <c r="AS148" s="23" t="str">
        <f t="shared" si="13"/>
        <v>N/A</v>
      </c>
      <c r="AT148" s="23" t="str">
        <f t="shared" si="14"/>
        <v>N/A</v>
      </c>
      <c r="AU148" s="23" t="str">
        <f t="shared" si="15"/>
        <v>N/A</v>
      </c>
      <c r="AV148" s="23"/>
      <c r="AW148" s="23"/>
      <c r="AX148" s="23"/>
      <c r="AZ148" s="640"/>
    </row>
    <row r="149" spans="1:52" x14ac:dyDescent="0.25">
      <c r="A149" s="1077">
        <v>140</v>
      </c>
      <c r="B149" s="1078" t="s">
        <v>70</v>
      </c>
      <c r="C149" s="1083" t="str">
        <f>C148</f>
        <v>Wst 01</v>
      </c>
      <c r="D149" s="824" t="s">
        <v>790</v>
      </c>
      <c r="E149" s="861" t="str">
        <f>VLOOKUP(D149,Poeng!$B$10:$R$257,Poeng!E$1,FALSE)</f>
        <v>Resource managment plan</v>
      </c>
      <c r="F149" s="122">
        <f>VLOOKUP(D149,Poeng!$B$10:$AB$257,Poeng!AB$1,FALSE)</f>
        <v>1</v>
      </c>
      <c r="G149" s="43"/>
      <c r="H149" s="123">
        <f>VLOOKUP(D149,Poeng!$B$10:$AE$257,Poeng!AE$1,FALSE)</f>
        <v>0</v>
      </c>
      <c r="I149" s="124" t="str">
        <f>VLOOKUP(D149,Poeng!$B$10:$BE$257,Poeng!BE$1,FALSE)</f>
        <v>Good</v>
      </c>
      <c r="J149" s="1120"/>
      <c r="K149" s="1121"/>
      <c r="L149" s="1122"/>
      <c r="M149" s="815"/>
      <c r="N149" s="83"/>
      <c r="O149" s="123">
        <f>VLOOKUP(D149,Poeng!$B$10:$BC$257,Poeng!AF$1,FALSE)</f>
        <v>0</v>
      </c>
      <c r="P149" s="123" t="str">
        <f>VLOOKUP(D149,Poeng!$B$10:$BH$257,Poeng!BH$1,FALSE)</f>
        <v>Good</v>
      </c>
      <c r="Q149" s="744"/>
      <c r="R149" s="745"/>
      <c r="S149" s="738"/>
      <c r="T149" s="319"/>
      <c r="U149" s="83"/>
      <c r="V149" s="123">
        <f>VLOOKUP(D149,Poeng!$B$10:$BC$257,Poeng!AG$1,FALSE)</f>
        <v>0</v>
      </c>
      <c r="W149" s="123" t="str">
        <f>VLOOKUP(D149,Poeng!$B$10:$BK$257,Poeng!BK$1,FALSE)</f>
        <v>Good</v>
      </c>
      <c r="X149" s="81"/>
      <c r="Y149" s="80"/>
      <c r="Z149" s="738"/>
      <c r="AA149" s="133"/>
      <c r="AB149" s="864"/>
      <c r="AC149" s="107">
        <f t="shared" ref="AC149" si="22">IF(F149="",1,IF(F149=0,2,1))</f>
        <v>1</v>
      </c>
      <c r="AD149" s="3" t="e">
        <f>VLOOKUP(K149,'Assessment Details'!$O$45:$P$48,2,FALSE)</f>
        <v>#N/A</v>
      </c>
      <c r="AE149" s="3" t="e">
        <f>VLOOKUP(R149,'Assessment Details'!$O$45:$P$48,2,FALSE)</f>
        <v>#N/A</v>
      </c>
      <c r="AF149" s="3" t="e">
        <f>VLOOKUP(Y149,'Assessment Details'!$O$45:$P$48,2,FALSE)</f>
        <v>#N/A</v>
      </c>
      <c r="AI149" s="3"/>
      <c r="AJ149" s="3"/>
      <c r="AK149" s="3"/>
      <c r="AL149" s="3"/>
      <c r="AM149" s="3"/>
      <c r="AN149" s="3"/>
      <c r="AO149" s="3"/>
      <c r="AP149" s="3"/>
      <c r="AS149" s="23"/>
      <c r="AT149" s="23"/>
      <c r="AU149" s="23"/>
      <c r="AV149" s="23"/>
      <c r="AW149" s="23"/>
      <c r="AX149" s="23"/>
      <c r="AZ149" s="864"/>
    </row>
    <row r="150" spans="1:52" x14ac:dyDescent="0.25">
      <c r="A150" s="1077">
        <v>141</v>
      </c>
      <c r="B150" s="1078" t="s">
        <v>70</v>
      </c>
      <c r="C150" s="1083" t="str">
        <f>C148</f>
        <v>Wst 01</v>
      </c>
      <c r="D150" s="19" t="s">
        <v>1035</v>
      </c>
      <c r="E150" s="1257" t="str">
        <f>VLOOKUP(D150,Poeng!$B$10:$R$257,Poeng!E$1,FALSE)</f>
        <v>EU taxonomy requirement: criterion 1</v>
      </c>
      <c r="F150" s="122" t="str">
        <f>VLOOKUP(D150,Poeng!$B$10:$AB$257,Poeng!AB$1,FALSE)</f>
        <v>Yes/No</v>
      </c>
      <c r="G150" s="43"/>
      <c r="H150" s="123" t="str">
        <f>VLOOKUP(D150,Poeng!$B$10:$AE$257,Poeng!AE$1,FALSE)</f>
        <v>-</v>
      </c>
      <c r="I150" s="124" t="str">
        <f>VLOOKUP(D150,Poeng!$B$10:$BE$257,Poeng!BE$1,FALSE)</f>
        <v>N/A</v>
      </c>
      <c r="J150" s="80"/>
      <c r="K150" s="281"/>
      <c r="L150" s="796"/>
      <c r="M150" s="816"/>
      <c r="N150" s="83"/>
      <c r="O150" s="123" t="str">
        <f>VLOOKUP(D150,Poeng!$B$10:$BC$257,Poeng!AF$1,FALSE)</f>
        <v>-</v>
      </c>
      <c r="P150" s="123" t="str">
        <f>VLOOKUP(D150,Poeng!$B$10:$BH$257,Poeng!BH$1,FALSE)</f>
        <v>N/A</v>
      </c>
      <c r="Q150" s="744"/>
      <c r="R150" s="745"/>
      <c r="S150" s="738"/>
      <c r="T150" s="319"/>
      <c r="U150" s="83"/>
      <c r="V150" s="123" t="str">
        <f>VLOOKUP(D150,Poeng!$B$10:$BC$257,Poeng!AG$1,FALSE)</f>
        <v>-</v>
      </c>
      <c r="W150" s="123" t="str">
        <f>VLOOKUP(D150,Poeng!$B$10:$BK$257,Poeng!BK$1,FALSE)</f>
        <v>N/A</v>
      </c>
      <c r="X150" s="81"/>
      <c r="Y150" s="80"/>
      <c r="Z150" s="738"/>
      <c r="AC150" s="107">
        <f t="shared" si="21"/>
        <v>1</v>
      </c>
      <c r="AD150" s="3" t="e">
        <f>VLOOKUP(K150,'Assessment Details'!$O$45:$P$48,2,FALSE)</f>
        <v>#N/A</v>
      </c>
      <c r="AE150" s="3" t="e">
        <f>VLOOKUP(R150,'Assessment Details'!$O$45:$P$48,2,FALSE)</f>
        <v>#N/A</v>
      </c>
      <c r="AF150" s="3" t="e">
        <f>VLOOKUP(Y150,'Assessment Details'!$O$45:$P$48,2,FALSE)</f>
        <v>#N/A</v>
      </c>
    </row>
    <row r="151" spans="1:52" x14ac:dyDescent="0.25">
      <c r="A151" s="1077">
        <v>142</v>
      </c>
      <c r="B151" s="1078" t="s">
        <v>70</v>
      </c>
      <c r="C151" s="1083" t="str">
        <f t="shared" si="19"/>
        <v>Wst 01</v>
      </c>
      <c r="D151" s="19" t="s">
        <v>791</v>
      </c>
      <c r="E151" s="861" t="str">
        <f>VLOOKUP(D151,Poeng!$B$10:$R$252,Poeng!E$1,FALSE)</f>
        <v>Amount of construction waste</v>
      </c>
      <c r="F151" s="122">
        <f>VLOOKUP(D151,Poeng!$B$10:$AB$252,Poeng!AB$1,FALSE)</f>
        <v>2</v>
      </c>
      <c r="G151" s="43"/>
      <c r="H151" s="123">
        <f>VLOOKUP(D151,Poeng!$B$10:$AE$252,Poeng!AE$1,FALSE)</f>
        <v>0</v>
      </c>
      <c r="I151" s="124" t="str">
        <f>VLOOKUP(D151,Poeng!$B$10:$BE$252,Poeng!BE$1,FALSE)</f>
        <v>Excellent</v>
      </c>
      <c r="J151" s="80"/>
      <c r="K151" s="281"/>
      <c r="L151" s="796"/>
      <c r="M151" s="816"/>
      <c r="N151" s="83"/>
      <c r="O151" s="123">
        <f>VLOOKUP(D151,Poeng!$B$10:$BC$252,Poeng!AF$1,FALSE)</f>
        <v>0</v>
      </c>
      <c r="P151" s="123" t="str">
        <f>VLOOKUP(D151,Poeng!$B$10:$BH$252,Poeng!BH$1,FALSE)</f>
        <v>Excellent</v>
      </c>
      <c r="Q151" s="744"/>
      <c r="R151" s="745"/>
      <c r="S151" s="738"/>
      <c r="T151" s="319"/>
      <c r="U151" s="83"/>
      <c r="V151" s="123">
        <f>VLOOKUP(D151,Poeng!$B$10:$BC$252,Poeng!AG$1,FALSE)</f>
        <v>0</v>
      </c>
      <c r="W151" s="123" t="str">
        <f>VLOOKUP(D151,Poeng!$B$10:$BK$252,Poeng!BK$1,FALSE)</f>
        <v>Excellent</v>
      </c>
      <c r="X151" s="81"/>
      <c r="Y151" s="80"/>
      <c r="Z151" s="738"/>
      <c r="AC151" s="107">
        <f t="shared" si="21"/>
        <v>1</v>
      </c>
      <c r="AD151" s="3" t="e">
        <f>VLOOKUP(K151,'Assessment Details'!$O$45:$P$48,2,FALSE)</f>
        <v>#N/A</v>
      </c>
      <c r="AE151" s="3" t="e">
        <f>VLOOKUP(R151,'Assessment Details'!$O$45:$P$48,2,FALSE)</f>
        <v>#N/A</v>
      </c>
      <c r="AF151" s="3" t="e">
        <f>VLOOKUP(Y151,'Assessment Details'!$O$45:$P$48,2,FALSE)</f>
        <v>#N/A</v>
      </c>
    </row>
    <row r="152" spans="1:52" x14ac:dyDescent="0.25">
      <c r="A152" s="1077">
        <v>143</v>
      </c>
      <c r="B152" s="1078" t="s">
        <v>70</v>
      </c>
      <c r="C152" s="1083" t="str">
        <f t="shared" si="19"/>
        <v>Wst 01</v>
      </c>
      <c r="D152" s="19" t="s">
        <v>792</v>
      </c>
      <c r="E152" s="861" t="str">
        <f>VLOOKUP(D152,Poeng!$B$10:$R$252,Poeng!E$1,FALSE)</f>
        <v>Waste sorting, reuse and recycling</v>
      </c>
      <c r="F152" s="122">
        <f>VLOOKUP(D152,Poeng!$B$10:$AB$252,Poeng!AB$1,FALSE)</f>
        <v>2</v>
      </c>
      <c r="G152" s="43"/>
      <c r="H152" s="123">
        <f>VLOOKUP(D152,Poeng!$B$10:$AE$252,Poeng!AE$1,FALSE)</f>
        <v>0</v>
      </c>
      <c r="I152" s="124" t="str">
        <f>VLOOKUP(D152,Poeng!$B$10:$BE$252,Poeng!BE$1,FALSE)</f>
        <v>Unclassified</v>
      </c>
      <c r="J152" s="80"/>
      <c r="K152" s="281"/>
      <c r="L152" s="796"/>
      <c r="M152" s="816"/>
      <c r="N152" s="83"/>
      <c r="O152" s="123">
        <f>VLOOKUP(D152,Poeng!$B$10:$BC$252,Poeng!AF$1,FALSE)</f>
        <v>0</v>
      </c>
      <c r="P152" s="123" t="str">
        <f>VLOOKUP(D152,Poeng!$B$10:$BH$252,Poeng!BH$1,FALSE)</f>
        <v>Unclassified</v>
      </c>
      <c r="Q152" s="744"/>
      <c r="R152" s="745"/>
      <c r="S152" s="738"/>
      <c r="T152" s="319"/>
      <c r="U152" s="83"/>
      <c r="V152" s="123">
        <f>VLOOKUP(D152,Poeng!$B$10:$BC$252,Poeng!AG$1,FALSE)</f>
        <v>0</v>
      </c>
      <c r="W152" s="123" t="str">
        <f>VLOOKUP(D152,Poeng!$B$10:$BK$252,Poeng!BK$1,FALSE)</f>
        <v>Unclassified</v>
      </c>
      <c r="X152" s="81"/>
      <c r="Y152" s="80"/>
      <c r="Z152" s="738"/>
      <c r="AC152" s="107">
        <f t="shared" si="21"/>
        <v>1</v>
      </c>
      <c r="AD152" s="3" t="e">
        <f>VLOOKUP(K152,'Assessment Details'!$O$45:$P$48,2,FALSE)</f>
        <v>#N/A</v>
      </c>
      <c r="AE152" s="3" t="e">
        <f>VLOOKUP(R152,'Assessment Details'!$O$45:$P$48,2,FALSE)</f>
        <v>#N/A</v>
      </c>
      <c r="AF152" s="3" t="e">
        <f>VLOOKUP(Y152,'Assessment Details'!$O$45:$P$48,2,FALSE)</f>
        <v>#N/A</v>
      </c>
    </row>
    <row r="153" spans="1:52" x14ac:dyDescent="0.25">
      <c r="A153" s="1077">
        <v>144</v>
      </c>
      <c r="B153" s="1078" t="s">
        <v>70</v>
      </c>
      <c r="C153" s="1083" t="str">
        <f t="shared" si="19"/>
        <v>Wst 01</v>
      </c>
      <c r="D153" s="19" t="s">
        <v>988</v>
      </c>
      <c r="E153" s="1257" t="str">
        <f>VLOOKUP(D153,Poeng!$B$10:$R$252,Poeng!E$1,FALSE)</f>
        <v>EU taxonomy requirement: criterion 4, waste sorting ≥70%</v>
      </c>
      <c r="F153" s="122" t="str">
        <f>VLOOKUP(D153,Poeng!$B$10:$AB$252,Poeng!AB$1,FALSE)</f>
        <v>Yes/No</v>
      </c>
      <c r="G153" s="43"/>
      <c r="H153" s="123" t="str">
        <f>VLOOKUP(D153,Poeng!$B$10:$AE$252,Poeng!AE$1,FALSE)</f>
        <v>-</v>
      </c>
      <c r="I153" s="124" t="str">
        <f>VLOOKUP(D153,Poeng!$B$10:$BE$252,Poeng!BE$1,FALSE)</f>
        <v>Unclassified</v>
      </c>
      <c r="J153" s="80"/>
      <c r="K153" s="281"/>
      <c r="L153" s="796"/>
      <c r="M153" s="816"/>
      <c r="N153" s="83"/>
      <c r="O153" s="123" t="str">
        <f>VLOOKUP(D153,Poeng!$B$10:$BC$252,Poeng!AF$1,FALSE)</f>
        <v>-</v>
      </c>
      <c r="P153" s="123" t="str">
        <f>VLOOKUP(D153,Poeng!$B$10:$BH$252,Poeng!BH$1,FALSE)</f>
        <v>Unclassified</v>
      </c>
      <c r="Q153" s="744"/>
      <c r="R153" s="745"/>
      <c r="S153" s="738"/>
      <c r="T153" s="319"/>
      <c r="U153" s="83"/>
      <c r="V153" s="123" t="str">
        <f>VLOOKUP(D153,Poeng!$B$10:$BC$252,Poeng!AG$1,FALSE)</f>
        <v>-</v>
      </c>
      <c r="W153" s="123" t="str">
        <f>VLOOKUP(D153,Poeng!$B$10:$BK$252,Poeng!BK$1,FALSE)</f>
        <v>Unclassified</v>
      </c>
      <c r="X153" s="81"/>
      <c r="Y153" s="80"/>
      <c r="Z153" s="738"/>
      <c r="AC153" s="107">
        <f t="shared" ref="AC153" si="23">IF(F153="",1,IF(F153=0,2,1))</f>
        <v>1</v>
      </c>
      <c r="AD153" s="3" t="e">
        <f>VLOOKUP(K153,'Assessment Details'!$O$45:$P$48,2,FALSE)</f>
        <v>#N/A</v>
      </c>
      <c r="AE153" s="3" t="e">
        <f>VLOOKUP(R153,'Assessment Details'!$O$45:$P$48,2,FALSE)</f>
        <v>#N/A</v>
      </c>
      <c r="AF153" s="3" t="e">
        <f>VLOOKUP(Y153,'Assessment Details'!$O$45:$P$48,2,FALSE)</f>
        <v>#N/A</v>
      </c>
    </row>
    <row r="154" spans="1:52" x14ac:dyDescent="0.25">
      <c r="A154" s="1077">
        <v>145</v>
      </c>
      <c r="B154" s="1078" t="s">
        <v>70</v>
      </c>
      <c r="C154" s="924" t="s">
        <v>374</v>
      </c>
      <c r="D154" s="824" t="s">
        <v>374</v>
      </c>
      <c r="E154" s="860" t="str">
        <f>VLOOKUP(D154,Poeng!$B$10:$R$252,Poeng!E$1,FALSE)</f>
        <v>Wst 03a Operational waste</v>
      </c>
      <c r="F154" s="865">
        <f>VLOOKUP(D154,Poeng!$B$10:$AB$252,Poeng!AB$1,FALSE)</f>
        <v>1</v>
      </c>
      <c r="G154" s="1001"/>
      <c r="H154" s="866" t="str">
        <f>VLOOKUP(D154,Poeng!$B$10:$AI$252,Poeng!AI$1,FALSE)&amp;" c. "&amp;ROUND(VLOOKUP(D154,Poeng!$B$10:$AE$252,Poeng!AE$1,FALSE)*100,1)&amp;" %"</f>
        <v>0 c. 0 %</v>
      </c>
      <c r="I154" s="924" t="str">
        <f>VLOOKUP(D154,Poeng!$B$10:$BE$252,Poeng!BE$1,FALSE)</f>
        <v>N/A</v>
      </c>
      <c r="J154" s="80"/>
      <c r="K154" s="281"/>
      <c r="L154" s="796"/>
      <c r="M154" s="816"/>
      <c r="N154" s="1001"/>
      <c r="O154" s="877" t="str">
        <f>VLOOKUP(D154,Poeng!$B$10:$BC$252,Poeng!AJ$1,FALSE)&amp;" c. "&amp;ROUND(VLOOKUP(D154,Poeng!$B$10:$BC$252,Poeng!AF$1,FALSE)*100,1)&amp;" %"</f>
        <v>0 c. 0 %</v>
      </c>
      <c r="P154" s="123" t="str">
        <f>VLOOKUP(D154,Poeng!$B$10:$BH$252,Poeng!BH$1,FALSE)</f>
        <v>N/A</v>
      </c>
      <c r="Q154" s="744"/>
      <c r="R154" s="745"/>
      <c r="S154" s="738"/>
      <c r="T154" s="319"/>
      <c r="U154" s="1001"/>
      <c r="V154" s="877" t="str">
        <f>VLOOKUP(D154,Poeng!$B$10:$BC$252,Poeng!AK$1,FALSE)&amp;" c. "&amp;ROUND(VLOOKUP(D154,Poeng!$B$10:$BC$252,Poeng!AG$1,FALSE)*100,1)&amp;" %"</f>
        <v>0 c. 0 %</v>
      </c>
      <c r="W154" s="123" t="str">
        <f>VLOOKUP(D154,Poeng!$B$10:$BK$252,Poeng!BK$1,FALSE)</f>
        <v>N/A</v>
      </c>
      <c r="X154" s="81"/>
      <c r="Y154" s="80"/>
      <c r="Z154" s="738"/>
      <c r="AA154" s="133"/>
      <c r="AB154" s="640" t="s">
        <v>13</v>
      </c>
      <c r="AC154" s="107">
        <f t="shared" si="21"/>
        <v>1</v>
      </c>
      <c r="AD154" s="3" t="e">
        <f>VLOOKUP(K154,'Assessment Details'!$O$45:$P$48,2,FALSE)</f>
        <v>#N/A</v>
      </c>
      <c r="AE154" s="3" t="e">
        <f>VLOOKUP(R154,'Assessment Details'!$O$45:$P$48,2,FALSE)</f>
        <v>#N/A</v>
      </c>
      <c r="AF154" s="3" t="e">
        <f>VLOOKUP(Y154,'Assessment Details'!$O$45:$P$48,2,FALSE)</f>
        <v>#N/A</v>
      </c>
      <c r="AI154" s="70"/>
      <c r="AJ154" s="671" t="s">
        <v>167</v>
      </c>
      <c r="AK154" s="648" t="s">
        <v>13</v>
      </c>
      <c r="AL154" s="648" t="s">
        <v>12</v>
      </c>
      <c r="AM154" s="70"/>
      <c r="AN154" s="70"/>
      <c r="AO154" s="70"/>
      <c r="AP154" s="70"/>
      <c r="AS154" s="23" t="str">
        <f t="shared" si="13"/>
        <v>N/A</v>
      </c>
      <c r="AT154" s="23" t="str">
        <f t="shared" si="14"/>
        <v>N/A</v>
      </c>
      <c r="AU154" s="23" t="str">
        <f t="shared" si="15"/>
        <v>N/A</v>
      </c>
      <c r="AV154" s="23"/>
      <c r="AW154" s="23"/>
      <c r="AX154" s="23"/>
      <c r="AZ154" s="640"/>
    </row>
    <row r="155" spans="1:52" x14ac:dyDescent="0.25">
      <c r="A155" s="1077">
        <v>146</v>
      </c>
      <c r="B155" s="1078" t="s">
        <v>70</v>
      </c>
      <c r="C155" s="1083" t="str">
        <f t="shared" si="19"/>
        <v>Wst 03a</v>
      </c>
      <c r="D155" s="824" t="s">
        <v>793</v>
      </c>
      <c r="E155" s="861" t="str">
        <f>VLOOKUP(D155,Poeng!$B$10:$R$252,Poeng!E$1,FALSE)</f>
        <v>Operational waste</v>
      </c>
      <c r="F155" s="122">
        <f>VLOOKUP(D155,Poeng!$B$10:$AB$252,Poeng!AB$1,FALSE)</f>
        <v>1</v>
      </c>
      <c r="G155" s="43"/>
      <c r="H155" s="123">
        <f>VLOOKUP(D155,Poeng!$B$10:$AE$252,Poeng!AE$1,FALSE)</f>
        <v>0</v>
      </c>
      <c r="I155" s="124" t="str">
        <f>VLOOKUP(D155,Poeng!$B$10:$BE$252,Poeng!BE$1,FALSE)</f>
        <v>Very Good</v>
      </c>
      <c r="J155" s="80"/>
      <c r="K155" s="281"/>
      <c r="L155" s="796"/>
      <c r="M155" s="816"/>
      <c r="N155" s="83"/>
      <c r="O155" s="123">
        <f>VLOOKUP(D155,Poeng!$B$10:$BC$252,Poeng!AF$1,FALSE)</f>
        <v>0</v>
      </c>
      <c r="P155" s="123" t="str">
        <f>VLOOKUP(D155,Poeng!$B$10:$BH$252,Poeng!BH$1,FALSE)</f>
        <v>Very Good</v>
      </c>
      <c r="Q155" s="744"/>
      <c r="R155" s="745"/>
      <c r="S155" s="738"/>
      <c r="T155" s="319"/>
      <c r="U155" s="83"/>
      <c r="V155" s="123">
        <f>VLOOKUP(D155,Poeng!$B$10:$BC$252,Poeng!AG$1,FALSE)</f>
        <v>0</v>
      </c>
      <c r="W155" s="123" t="str">
        <f>VLOOKUP(D155,Poeng!$B$10:$BK$252,Poeng!BK$1,FALSE)</f>
        <v>Very Good</v>
      </c>
      <c r="X155" s="81"/>
      <c r="Y155" s="80"/>
      <c r="Z155" s="738"/>
      <c r="AA155" s="133"/>
      <c r="AB155" s="640"/>
      <c r="AC155" s="107">
        <f t="shared" si="21"/>
        <v>1</v>
      </c>
      <c r="AD155" s="3" t="e">
        <f>VLOOKUP(K155,'Assessment Details'!$O$45:$P$48,2,FALSE)</f>
        <v>#N/A</v>
      </c>
      <c r="AE155" s="3" t="e">
        <f>VLOOKUP(R155,'Assessment Details'!$O$45:$P$48,2,FALSE)</f>
        <v>#N/A</v>
      </c>
      <c r="AF155" s="3" t="e">
        <f>VLOOKUP(Y155,'Assessment Details'!$O$45:$P$48,2,FALSE)</f>
        <v>#N/A</v>
      </c>
      <c r="AI155" s="70"/>
      <c r="AJ155" s="671"/>
      <c r="AK155" s="648"/>
      <c r="AL155" s="648"/>
      <c r="AM155" s="70"/>
      <c r="AN155" s="70"/>
      <c r="AO155" s="70"/>
      <c r="AP155" s="70"/>
      <c r="AS155" s="23"/>
      <c r="AT155" s="23"/>
      <c r="AU155" s="23"/>
      <c r="AV155" s="23"/>
      <c r="AW155" s="23"/>
      <c r="AX155" s="23"/>
      <c r="AZ155" s="640"/>
    </row>
    <row r="156" spans="1:52" x14ac:dyDescent="0.25">
      <c r="A156" s="1077">
        <v>147</v>
      </c>
      <c r="B156" s="1078" t="s">
        <v>70</v>
      </c>
      <c r="C156" s="924" t="s">
        <v>376</v>
      </c>
      <c r="D156" s="824" t="s">
        <v>376</v>
      </c>
      <c r="E156" s="860" t="str">
        <f>VLOOKUP(D156,Poeng!$B$10:$R$252,Poeng!E$1,FALSE)</f>
        <v>Wst 03b Operational waste</v>
      </c>
      <c r="F156" s="865">
        <f>VLOOKUP(D156,Poeng!$B$10:$AB$252,Poeng!AB$1,FALSE)</f>
        <v>0</v>
      </c>
      <c r="G156" s="1001"/>
      <c r="H156" s="866" t="str">
        <f>VLOOKUP(D156,Poeng!$B$10:$AI$252,Poeng!AI$1,FALSE)&amp;" c. "&amp;ROUND(VLOOKUP(D156,Poeng!$B$10:$AE$252,Poeng!AE$1,FALSE)*100,1)&amp;" %"</f>
        <v>0 c. 0 %</v>
      </c>
      <c r="I156" s="924" t="str">
        <f>VLOOKUP(D156,Poeng!$B$10:$BE$252,Poeng!BE$1,FALSE)</f>
        <v>N/A</v>
      </c>
      <c r="J156" s="80"/>
      <c r="K156" s="281"/>
      <c r="L156" s="796"/>
      <c r="M156" s="816"/>
      <c r="N156" s="1001"/>
      <c r="O156" s="877" t="str">
        <f>VLOOKUP(D156,Poeng!$B$10:$BC$252,Poeng!AJ$1,FALSE)&amp;" c. "&amp;ROUND(VLOOKUP(D156,Poeng!$B$10:$BC$252,Poeng!AF$1,FALSE)*100,1)&amp;" %"</f>
        <v>0 c. 0 %</v>
      </c>
      <c r="P156" s="123" t="str">
        <f>VLOOKUP(D156,Poeng!$B$10:$BH$252,Poeng!BH$1,FALSE)</f>
        <v>N/A</v>
      </c>
      <c r="Q156" s="744"/>
      <c r="R156" s="745"/>
      <c r="S156" s="738"/>
      <c r="T156" s="319"/>
      <c r="U156" s="1001"/>
      <c r="V156" s="877" t="str">
        <f>VLOOKUP(D156,Poeng!$B$10:$BC$252,Poeng!AK$1,FALSE)&amp;" c. "&amp;ROUND(VLOOKUP(D156,Poeng!$B$10:$BC$252,Poeng!AG$1,FALSE)*100,1)&amp;" %"</f>
        <v>0 c. 0 %</v>
      </c>
      <c r="W156" s="123" t="str">
        <f>VLOOKUP(D156,Poeng!$B$10:$BK$252,Poeng!BK$1,FALSE)</f>
        <v>N/A</v>
      </c>
      <c r="X156" s="81"/>
      <c r="Y156" s="80"/>
      <c r="Z156" s="738"/>
      <c r="AA156" s="133"/>
      <c r="AB156" s="640"/>
      <c r="AC156" s="107">
        <f t="shared" si="21"/>
        <v>2</v>
      </c>
      <c r="AD156" s="3" t="e">
        <f>VLOOKUP(K156,'Assessment Details'!$O$45:$P$48,2,FALSE)</f>
        <v>#N/A</v>
      </c>
      <c r="AE156" s="3" t="e">
        <f>VLOOKUP(R156,'Assessment Details'!$O$45:$P$48,2,FALSE)</f>
        <v>#N/A</v>
      </c>
      <c r="AF156" s="3" t="e">
        <f>VLOOKUP(Y156,'Assessment Details'!$O$45:$P$48,2,FALSE)</f>
        <v>#N/A</v>
      </c>
      <c r="AI156" s="70"/>
      <c r="AJ156" s="671"/>
      <c r="AK156" s="648"/>
      <c r="AL156" s="648"/>
      <c r="AM156" s="70"/>
      <c r="AN156" s="70"/>
      <c r="AO156" s="70"/>
      <c r="AP156" s="70"/>
      <c r="AS156" s="23"/>
      <c r="AT156" s="23"/>
      <c r="AU156" s="23"/>
      <c r="AV156" s="23"/>
      <c r="AW156" s="23"/>
      <c r="AX156" s="23"/>
      <c r="AZ156" s="640"/>
    </row>
    <row r="157" spans="1:52" x14ac:dyDescent="0.25">
      <c r="A157" s="1077">
        <v>148</v>
      </c>
      <c r="B157" s="1078" t="s">
        <v>70</v>
      </c>
      <c r="C157" s="1083" t="str">
        <f t="shared" si="19"/>
        <v>Wst 03b</v>
      </c>
      <c r="D157" s="824" t="s">
        <v>794</v>
      </c>
      <c r="E157" s="861" t="str">
        <f>VLOOKUP(D157,Poeng!$B$10:$R$252,Poeng!E$1,FALSE)</f>
        <v>Sorting of waste</v>
      </c>
      <c r="F157" s="122">
        <f>VLOOKUP(D157,Poeng!$B$10:$AB$252,Poeng!AB$1,FALSE)</f>
        <v>0</v>
      </c>
      <c r="G157" s="43"/>
      <c r="H157" s="123">
        <f>VLOOKUP(D157,Poeng!$B$10:$AE$252,Poeng!AE$1,FALSE)</f>
        <v>0</v>
      </c>
      <c r="I157" s="124" t="str">
        <f>VLOOKUP(D157,Poeng!$B$10:$BE$252,Poeng!BE$1,FALSE)</f>
        <v>N/A</v>
      </c>
      <c r="J157" s="80"/>
      <c r="K157" s="281"/>
      <c r="L157" s="796"/>
      <c r="M157" s="816"/>
      <c r="N157" s="83"/>
      <c r="O157" s="123">
        <f>VLOOKUP(D157,Poeng!$B$10:$BC$252,Poeng!AF$1,FALSE)</f>
        <v>0</v>
      </c>
      <c r="P157" s="123" t="str">
        <f>VLOOKUP(D157,Poeng!$B$10:$BH$252,Poeng!BH$1,FALSE)</f>
        <v>N/A</v>
      </c>
      <c r="Q157" s="744"/>
      <c r="R157" s="745"/>
      <c r="S157" s="1096"/>
      <c r="T157" s="319"/>
      <c r="U157" s="83"/>
      <c r="V157" s="123">
        <f>VLOOKUP(D157,Poeng!$B$10:$BC$252,Poeng!AG$1,FALSE)</f>
        <v>0</v>
      </c>
      <c r="W157" s="123" t="str">
        <f>VLOOKUP(D157,Poeng!$B$10:$BK$252,Poeng!BK$1,FALSE)</f>
        <v>N/A</v>
      </c>
      <c r="X157" s="81"/>
      <c r="Y157" s="80"/>
      <c r="Z157" s="1096"/>
      <c r="AA157" s="133"/>
      <c r="AB157" s="640"/>
      <c r="AC157" s="107">
        <f t="shared" si="21"/>
        <v>2</v>
      </c>
      <c r="AD157" s="3" t="e">
        <f>VLOOKUP(K157,'Assessment Details'!$O$45:$P$48,2,FALSE)</f>
        <v>#N/A</v>
      </c>
      <c r="AE157" s="3" t="e">
        <f>VLOOKUP(R157,'Assessment Details'!$O$45:$P$48,2,FALSE)</f>
        <v>#N/A</v>
      </c>
      <c r="AF157" s="3" t="e">
        <f>VLOOKUP(Y157,'Assessment Details'!$O$45:$P$48,2,FALSE)</f>
        <v>#N/A</v>
      </c>
      <c r="AI157" s="70"/>
      <c r="AJ157" s="671"/>
      <c r="AK157" s="648"/>
      <c r="AL157" s="648"/>
      <c r="AM157" s="70"/>
      <c r="AN157" s="70"/>
      <c r="AO157" s="70"/>
      <c r="AP157" s="70"/>
      <c r="AS157" s="23"/>
      <c r="AT157" s="23"/>
      <c r="AU157" s="23"/>
      <c r="AV157" s="23"/>
      <c r="AW157" s="23"/>
      <c r="AX157" s="23"/>
      <c r="AZ157" s="640"/>
    </row>
    <row r="158" spans="1:52" x14ac:dyDescent="0.25">
      <c r="A158" s="1077">
        <v>149</v>
      </c>
      <c r="B158" s="1078" t="s">
        <v>70</v>
      </c>
      <c r="C158" s="924" t="s">
        <v>180</v>
      </c>
      <c r="D158" s="824" t="s">
        <v>180</v>
      </c>
      <c r="E158" s="860" t="str">
        <f>VLOOKUP(D158,Poeng!$B$10:$R$252,Poeng!E$1,FALSE)</f>
        <v>Wst 04 Speculative finishes</v>
      </c>
      <c r="F158" s="865">
        <f>VLOOKUP(D158,Poeng!$B$10:$AB$252,Poeng!AB$1,FALSE)</f>
        <v>1</v>
      </c>
      <c r="G158" s="1001"/>
      <c r="H158" s="866" t="str">
        <f>VLOOKUP(D158,Poeng!$B$10:$AI$252,Poeng!AI$1,FALSE)&amp;" c. "&amp;ROUND(VLOOKUP(D158,Poeng!$B$10:$AE$252,Poeng!AE$1,FALSE)*100,1)&amp;" %"</f>
        <v>0 c. 0 %</v>
      </c>
      <c r="I158" s="924" t="str">
        <f>VLOOKUP(D158,Poeng!$B$10:$BE$252,Poeng!BE$1,FALSE)</f>
        <v>N/A</v>
      </c>
      <c r="J158" s="80"/>
      <c r="K158" s="281"/>
      <c r="L158" s="796"/>
      <c r="M158" s="816"/>
      <c r="N158" s="1001"/>
      <c r="O158" s="877" t="str">
        <f>VLOOKUP(D158,Poeng!$B$10:$BC$252,Poeng!AJ$1,FALSE)&amp;" c. "&amp;ROUND(VLOOKUP(D158,Poeng!$B$10:$BC$252,Poeng!AF$1,FALSE)*100,1)&amp;" %"</f>
        <v>0 c. 0 %</v>
      </c>
      <c r="P158" s="123" t="str">
        <f>VLOOKUP(D158,Poeng!$B$10:$BH$252,Poeng!BH$1,FALSE)</f>
        <v>N/A</v>
      </c>
      <c r="Q158" s="744"/>
      <c r="R158" s="745"/>
      <c r="S158" s="738"/>
      <c r="T158" s="319"/>
      <c r="U158" s="1001"/>
      <c r="V158" s="877" t="str">
        <f>VLOOKUP(D158,Poeng!$B$10:$BC$252,Poeng!AK$1,FALSE)&amp;" c. "&amp;ROUND(VLOOKUP(D158,Poeng!$B$10:$BC$252,Poeng!AG$1,FALSE)*100,1)&amp;" %"</f>
        <v>0 c. 0 %</v>
      </c>
      <c r="W158" s="123" t="str">
        <f>VLOOKUP(D158,Poeng!$B$10:$BK$252,Poeng!BK$1,FALSE)</f>
        <v>N/A</v>
      </c>
      <c r="X158" s="81"/>
      <c r="Y158" s="80"/>
      <c r="Z158" s="738"/>
      <c r="AA158" s="133"/>
      <c r="AB158" s="640" t="s">
        <v>13</v>
      </c>
      <c r="AC158" s="107">
        <f t="shared" si="21"/>
        <v>1</v>
      </c>
      <c r="AD158" s="3" t="e">
        <f>VLOOKUP(K158,'Assessment Details'!$O$45:$P$48,2,FALSE)</f>
        <v>#N/A</v>
      </c>
      <c r="AE158" s="3" t="e">
        <f>VLOOKUP(R158,'Assessment Details'!$O$45:$P$48,2,FALSE)</f>
        <v>#N/A</v>
      </c>
      <c r="AF158" s="3" t="e">
        <f>VLOOKUP(Y158,'Assessment Details'!$O$45:$P$48,2,FALSE)</f>
        <v>#N/A</v>
      </c>
      <c r="AI158" s="70"/>
      <c r="AJ158" s="671" t="s">
        <v>216</v>
      </c>
      <c r="AK158" s="648" t="s">
        <v>13</v>
      </c>
      <c r="AL158" s="648" t="s">
        <v>12</v>
      </c>
      <c r="AM158" s="70"/>
      <c r="AN158" s="70"/>
      <c r="AO158" s="70"/>
      <c r="AP158" s="70"/>
      <c r="AS158" s="23" t="str">
        <f t="shared" si="13"/>
        <v>N/A</v>
      </c>
      <c r="AT158" s="23" t="str">
        <f t="shared" si="14"/>
        <v>N/A</v>
      </c>
      <c r="AU158" s="23" t="str">
        <f t="shared" si="15"/>
        <v>N/A</v>
      </c>
      <c r="AV158" s="23"/>
      <c r="AW158" s="23"/>
      <c r="AX158" s="23"/>
      <c r="AZ158" s="640"/>
    </row>
    <row r="159" spans="1:52" x14ac:dyDescent="0.25">
      <c r="A159" s="1077">
        <v>150</v>
      </c>
      <c r="B159" s="1078" t="s">
        <v>70</v>
      </c>
      <c r="C159" s="1083" t="str">
        <f t="shared" si="19"/>
        <v>Wst 04</v>
      </c>
      <c r="D159" s="824" t="s">
        <v>795</v>
      </c>
      <c r="E159" s="861" t="str">
        <f>VLOOKUP(D159,Poeng!$B$10:$R$252,Poeng!E$1,FALSE)</f>
        <v xml:space="preserve">User involvement surface finishes </v>
      </c>
      <c r="F159" s="122">
        <f>VLOOKUP(D159,Poeng!$B$10:$AB$252,Poeng!AB$1,FALSE)</f>
        <v>1</v>
      </c>
      <c r="G159" s="43"/>
      <c r="H159" s="123">
        <f>VLOOKUP(D159,Poeng!$B$10:$AE$252,Poeng!AE$1,FALSE)</f>
        <v>0</v>
      </c>
      <c r="I159" s="124" t="str">
        <f>VLOOKUP(D159,Poeng!$B$10:$BE$252,Poeng!BE$1,FALSE)</f>
        <v>N/A</v>
      </c>
      <c r="J159" s="80"/>
      <c r="K159" s="281"/>
      <c r="L159" s="796"/>
      <c r="M159" s="816"/>
      <c r="N159" s="83"/>
      <c r="O159" s="123">
        <f>VLOOKUP(D159,Poeng!$B$10:$BC$252,Poeng!AF$1,FALSE)</f>
        <v>0</v>
      </c>
      <c r="P159" s="123" t="str">
        <f>VLOOKUP(D159,Poeng!$B$10:$BH$252,Poeng!BH$1,FALSE)</f>
        <v>N/A</v>
      </c>
      <c r="Q159" s="744"/>
      <c r="R159" s="745"/>
      <c r="S159" s="738"/>
      <c r="T159" s="319"/>
      <c r="U159" s="83"/>
      <c r="V159" s="123">
        <f>VLOOKUP(D159,Poeng!$B$10:$BC$252,Poeng!AG$1,FALSE)</f>
        <v>0</v>
      </c>
      <c r="W159" s="123" t="str">
        <f>VLOOKUP(D159,Poeng!$B$10:$BK$252,Poeng!BK$1,FALSE)</f>
        <v>N/A</v>
      </c>
      <c r="X159" s="81"/>
      <c r="Y159" s="80"/>
      <c r="Z159" s="738"/>
      <c r="AA159" s="133"/>
      <c r="AB159" s="714"/>
      <c r="AC159" s="107">
        <f t="shared" si="21"/>
        <v>1</v>
      </c>
      <c r="AD159" s="3" t="e">
        <f>VLOOKUP(K159,'Assessment Details'!$O$45:$P$48,2,FALSE)</f>
        <v>#N/A</v>
      </c>
      <c r="AE159" s="3" t="e">
        <f>VLOOKUP(R159,'Assessment Details'!$O$45:$P$48,2,FALSE)</f>
        <v>#N/A</v>
      </c>
      <c r="AF159" s="3" t="e">
        <f>VLOOKUP(Y159,'Assessment Details'!$O$45:$P$48,2,FALSE)</f>
        <v>#N/A</v>
      </c>
      <c r="AI159" s="70"/>
      <c r="AJ159" s="671"/>
      <c r="AK159" s="648"/>
      <c r="AL159" s="648"/>
      <c r="AM159" s="70"/>
      <c r="AN159" s="70"/>
      <c r="AO159" s="70"/>
      <c r="AP159" s="70"/>
      <c r="AS159" s="23"/>
      <c r="AT159" s="23"/>
      <c r="AU159" s="23"/>
      <c r="AV159" s="23"/>
      <c r="AW159" s="23"/>
      <c r="AX159" s="23"/>
      <c r="AZ159" s="714"/>
    </row>
    <row r="160" spans="1:52" ht="15.75" thickBot="1" x14ac:dyDescent="0.3">
      <c r="A160" s="1077">
        <v>151</v>
      </c>
      <c r="B160" s="1078" t="s">
        <v>70</v>
      </c>
      <c r="C160" s="1090"/>
      <c r="D160" s="824" t="s">
        <v>889</v>
      </c>
      <c r="E160" s="341" t="s">
        <v>110</v>
      </c>
      <c r="F160" s="125">
        <f>Wst_Credits</f>
        <v>7</v>
      </c>
      <c r="G160" s="131"/>
      <c r="H160" s="126">
        <f>Wst_cont_tot</f>
        <v>0</v>
      </c>
      <c r="I160" s="867" t="str">
        <f>"Credits achieved: "&amp;Wst_tot_user</f>
        <v>Credits achieved: 0</v>
      </c>
      <c r="J160" s="134"/>
      <c r="K160" s="282"/>
      <c r="L160" s="746"/>
      <c r="M160" s="816"/>
      <c r="N160" s="383"/>
      <c r="O160" s="126">
        <f>VLOOKUP(D160,Poeng!$B$10:$BC$252,Poeng!AF$1,FALSE)</f>
        <v>0</v>
      </c>
      <c r="P160" s="867" t="str">
        <f>"Credits achieved: "&amp;Wst_d_user</f>
        <v>Credits achieved: 0</v>
      </c>
      <c r="Q160" s="747"/>
      <c r="R160" s="748"/>
      <c r="S160" s="746"/>
      <c r="T160" s="319"/>
      <c r="U160" s="383"/>
      <c r="V160" s="126">
        <f>VLOOKUP(D160,Poeng!$B$10:$BC$252,Poeng!AG$1,FALSE)</f>
        <v>0</v>
      </c>
      <c r="W160" s="867" t="str">
        <f>"Credits achieved: "&amp;Wst_c_user</f>
        <v>Credits achieved: 0</v>
      </c>
      <c r="X160" s="382"/>
      <c r="Y160" s="136"/>
      <c r="Z160" s="746"/>
      <c r="AA160" s="133"/>
      <c r="AB160" s="641"/>
      <c r="AC160" s="107">
        <f t="shared" si="21"/>
        <v>1</v>
      </c>
      <c r="AD160" s="276">
        <v>0</v>
      </c>
      <c r="AE160" s="276">
        <v>0</v>
      </c>
      <c r="AF160" s="276">
        <v>0</v>
      </c>
      <c r="AI160" s="70"/>
      <c r="AJ160" s="671" t="s">
        <v>110</v>
      </c>
      <c r="AK160" s="70"/>
      <c r="AL160" s="70"/>
      <c r="AM160" s="70"/>
      <c r="AN160" s="70"/>
      <c r="AO160" s="70"/>
      <c r="AP160" s="70"/>
      <c r="AS160" s="23" t="str">
        <f t="shared" si="13"/>
        <v>N/A</v>
      </c>
      <c r="AT160" s="23" t="str">
        <f t="shared" si="14"/>
        <v>N/A</v>
      </c>
      <c r="AU160" s="23" t="str">
        <f t="shared" si="15"/>
        <v>N/A</v>
      </c>
      <c r="AV160" s="23"/>
      <c r="AW160" s="23"/>
      <c r="AX160" s="23"/>
      <c r="AZ160" s="641"/>
    </row>
    <row r="161" spans="1:52" x14ac:dyDescent="0.25">
      <c r="A161" s="1077">
        <v>152</v>
      </c>
      <c r="B161" s="1078" t="s">
        <v>70</v>
      </c>
      <c r="C161" s="1086"/>
      <c r="D161" s="824"/>
      <c r="E161" s="334"/>
      <c r="F161" s="322"/>
      <c r="G161" s="323"/>
      <c r="H161" s="322"/>
      <c r="I161" s="322"/>
      <c r="J161" s="324"/>
      <c r="K161" s="323"/>
      <c r="L161" s="749"/>
      <c r="M161" s="815"/>
      <c r="N161" s="325"/>
      <c r="O161" s="325"/>
      <c r="P161" s="749"/>
      <c r="Q161" s="749"/>
      <c r="R161" s="750"/>
      <c r="S161" s="1095"/>
      <c r="T161" s="326"/>
      <c r="U161" s="325"/>
      <c r="V161" s="325"/>
      <c r="W161" s="749"/>
      <c r="X161" s="324"/>
      <c r="Y161" s="325"/>
      <c r="Z161" s="1095"/>
      <c r="AA161" s="699"/>
      <c r="AB161" s="324"/>
      <c r="AC161" s="107">
        <f t="shared" si="21"/>
        <v>1</v>
      </c>
      <c r="AD161" s="278">
        <v>0</v>
      </c>
      <c r="AE161" s="278">
        <v>0</v>
      </c>
      <c r="AF161" s="278">
        <v>0</v>
      </c>
      <c r="AI161" s="70"/>
      <c r="AJ161" s="671"/>
      <c r="AK161" s="70"/>
      <c r="AL161" s="70"/>
      <c r="AM161" s="70"/>
      <c r="AN161" s="70"/>
      <c r="AO161" s="70"/>
      <c r="AP161" s="70"/>
      <c r="AS161" s="23" t="str">
        <f t="shared" si="13"/>
        <v>N/A</v>
      </c>
      <c r="AT161" s="23" t="str">
        <f t="shared" si="14"/>
        <v>N/A</v>
      </c>
      <c r="AU161" s="23" t="str">
        <f t="shared" si="15"/>
        <v>N/A</v>
      </c>
      <c r="AV161" s="23"/>
      <c r="AW161" s="23"/>
      <c r="AX161" s="23"/>
      <c r="AZ161" s="324"/>
    </row>
    <row r="162" spans="1:52" ht="18.75" x14ac:dyDescent="0.25">
      <c r="A162" s="1077">
        <v>153</v>
      </c>
      <c r="B162" s="1078" t="s">
        <v>71</v>
      </c>
      <c r="C162" s="1087"/>
      <c r="D162" s="824"/>
      <c r="E162" s="335" t="s">
        <v>58</v>
      </c>
      <c r="F162" s="315"/>
      <c r="G162" s="316"/>
      <c r="H162" s="336"/>
      <c r="I162" s="315"/>
      <c r="J162" s="328"/>
      <c r="K162" s="329"/>
      <c r="L162" s="752"/>
      <c r="M162" s="816"/>
      <c r="N162" s="339"/>
      <c r="O162" s="332"/>
      <c r="P162" s="742"/>
      <c r="Q162" s="753"/>
      <c r="R162" s="754"/>
      <c r="S162" s="755"/>
      <c r="T162" s="319"/>
      <c r="U162" s="339"/>
      <c r="V162" s="338"/>
      <c r="W162" s="742"/>
      <c r="X162" s="328"/>
      <c r="Y162" s="338"/>
      <c r="Z162" s="752"/>
      <c r="AA162" s="133"/>
      <c r="AB162" s="337"/>
      <c r="AC162" s="107">
        <f t="shared" si="21"/>
        <v>1</v>
      </c>
      <c r="AD162" s="275">
        <v>0</v>
      </c>
      <c r="AE162" s="275">
        <v>0</v>
      </c>
      <c r="AF162" s="275">
        <v>0</v>
      </c>
      <c r="AI162" s="70"/>
      <c r="AJ162" s="671" t="s">
        <v>58</v>
      </c>
      <c r="AK162" s="70"/>
      <c r="AL162" s="70"/>
      <c r="AM162" s="70"/>
      <c r="AN162" s="70"/>
      <c r="AO162" s="70"/>
      <c r="AP162" s="70"/>
      <c r="AS162" s="23" t="str">
        <f t="shared" ref="AS162:AS225" si="24">IF($AJ$4=ais_nei,AIS_NA,IF(AK162="",AIS_NA,AK162))</f>
        <v>N/A</v>
      </c>
      <c r="AT162" s="23" t="str">
        <f t="shared" ref="AT162:AT225" si="25">IF($AJ$4=ais_nei,AIS_NA,IF(AL162="",AIS_NA,AL162))</f>
        <v>N/A</v>
      </c>
      <c r="AU162" s="23" t="str">
        <f t="shared" ref="AU162:AV225" si="26">IF($AJ$4=ais_nei,AIS_NA,IF(AM162="",AIS_NA,AM162))</f>
        <v>N/A</v>
      </c>
      <c r="AV162" s="23"/>
      <c r="AW162" s="23"/>
      <c r="AX162" s="23"/>
      <c r="AZ162" s="337"/>
    </row>
    <row r="163" spans="1:52" x14ac:dyDescent="0.25">
      <c r="A163" s="1077">
        <v>154</v>
      </c>
      <c r="B163" s="1078" t="s">
        <v>71</v>
      </c>
      <c r="C163" s="924" t="s">
        <v>181</v>
      </c>
      <c r="D163" s="824" t="s">
        <v>181</v>
      </c>
      <c r="E163" s="860" t="str">
        <f>VLOOKUP(D163,Poeng!$B$10:$R$252,Poeng!E$1,FALSE)</f>
        <v>LE 01 Site selection</v>
      </c>
      <c r="F163" s="865">
        <f>VLOOKUP(D163,Poeng!$B$10:$AB$252,Poeng!AB$1,FALSE)</f>
        <v>2</v>
      </c>
      <c r="G163" s="1000"/>
      <c r="H163" s="866" t="str">
        <f>VLOOKUP(D163,Poeng!$B$10:$AI$252,Poeng!AI$1,FALSE)&amp;" c. "&amp;ROUND(VLOOKUP(D163,Poeng!$B$10:$AE$252,Poeng!AE$1,FALSE)*100,1)&amp;" %"</f>
        <v>0 c. 0 %</v>
      </c>
      <c r="I163" s="923" t="str">
        <f>VLOOKUP(D163,Poeng!$B$10:$BE$252,Poeng!BE$1,FALSE)</f>
        <v>N/A</v>
      </c>
      <c r="J163" s="874"/>
      <c r="K163" s="875"/>
      <c r="L163" s="876"/>
      <c r="M163" s="815"/>
      <c r="N163" s="1001"/>
      <c r="O163" s="1094" t="str">
        <f>VLOOKUP(D163,Poeng!$B$10:$BC$252,Poeng!AJ$1,FALSE)&amp;" c. "&amp;ROUND(VLOOKUP(D163,Poeng!$B$10:$BC$252,Poeng!AF$1,FALSE)*100,1)&amp;" %"</f>
        <v>0 c. 0 %</v>
      </c>
      <c r="P163" s="123" t="str">
        <f>VLOOKUP(D163,Poeng!$B$10:$BH$252,Poeng!BH$1,FALSE)</f>
        <v>N/A</v>
      </c>
      <c r="Q163" s="744"/>
      <c r="R163" s="745"/>
      <c r="S163" s="738"/>
      <c r="T163" s="319"/>
      <c r="U163" s="1001"/>
      <c r="V163" s="877" t="str">
        <f>VLOOKUP(D163,Poeng!$B$10:$BC$252,Poeng!AK$1,FALSE)&amp;" c. "&amp;ROUND(VLOOKUP(D163,Poeng!$B$10:$BC$252,Poeng!AG$1,FALSE)*100,1)&amp;" %"</f>
        <v>0 c. 0 %</v>
      </c>
      <c r="W163" s="123" t="str">
        <f>VLOOKUP(D163,Poeng!$B$10:$BK$252,Poeng!BK$1,FALSE)</f>
        <v>N/A</v>
      </c>
      <c r="X163" s="81"/>
      <c r="Y163" s="80"/>
      <c r="Z163" s="738"/>
      <c r="AA163" s="133"/>
      <c r="AB163" s="640" t="s">
        <v>14</v>
      </c>
      <c r="AC163" s="107">
        <f t="shared" si="21"/>
        <v>1</v>
      </c>
      <c r="AD163" s="3" t="e">
        <f>VLOOKUP(K163,'Assessment Details'!$O$45:$P$48,2,FALSE)</f>
        <v>#N/A</v>
      </c>
      <c r="AE163" s="3" t="e">
        <f>VLOOKUP(R163,'Assessment Details'!$O$45:$P$48,2,FALSE)</f>
        <v>#N/A</v>
      </c>
      <c r="AF163" s="3" t="e">
        <f>VLOOKUP(Y163,'Assessment Details'!$O$45:$P$48,2,FALSE)</f>
        <v>#N/A</v>
      </c>
      <c r="AI163" s="70"/>
      <c r="AJ163" s="671" t="s">
        <v>161</v>
      </c>
      <c r="AK163" s="70"/>
      <c r="AL163" s="70"/>
      <c r="AM163" s="70"/>
      <c r="AN163" s="70"/>
      <c r="AO163" s="70"/>
      <c r="AP163" s="70"/>
      <c r="AS163" s="23" t="str">
        <f t="shared" si="24"/>
        <v>N/A</v>
      </c>
      <c r="AT163" s="23" t="str">
        <f t="shared" si="25"/>
        <v>N/A</v>
      </c>
      <c r="AU163" s="23" t="str">
        <f t="shared" si="26"/>
        <v>N/A</v>
      </c>
      <c r="AV163" s="23"/>
      <c r="AW163" s="23"/>
      <c r="AX163" s="23"/>
      <c r="AZ163" s="640"/>
    </row>
    <row r="164" spans="1:52" x14ac:dyDescent="0.25">
      <c r="A164" s="1077">
        <v>155</v>
      </c>
      <c r="B164" s="1078" t="s">
        <v>71</v>
      </c>
      <c r="C164" s="1083" t="str">
        <f t="shared" si="19"/>
        <v>LE 01</v>
      </c>
      <c r="D164" s="824" t="s">
        <v>798</v>
      </c>
      <c r="E164" s="861" t="str">
        <f>VLOOKUP(D164,Poeng!$B$10:$R$252,Poeng!E$1,FALSE)</f>
        <v>Previously occupied land</v>
      </c>
      <c r="F164" s="122">
        <f>VLOOKUP(D164,Poeng!$B$10:$AB$252,Poeng!AB$1,FALSE)</f>
        <v>2</v>
      </c>
      <c r="G164" s="43"/>
      <c r="H164" s="123">
        <f>VLOOKUP(D164,Poeng!$B$10:$AE$252,Poeng!AE$1,FALSE)</f>
        <v>0</v>
      </c>
      <c r="I164" s="124" t="str">
        <f>VLOOKUP(D164,Poeng!$B$10:$BE$252,Poeng!BE$1,FALSE)</f>
        <v>N/A</v>
      </c>
      <c r="J164" s="80"/>
      <c r="K164" s="281"/>
      <c r="L164" s="796"/>
      <c r="M164" s="816"/>
      <c r="N164" s="83"/>
      <c r="O164" s="123">
        <f>VLOOKUP(D164,Poeng!$B$10:$BC$252,Poeng!AF$1,FALSE)</f>
        <v>0</v>
      </c>
      <c r="P164" s="123" t="str">
        <f>VLOOKUP(D164,Poeng!$B$10:$BH$252,Poeng!BH$1,FALSE)</f>
        <v>N/A</v>
      </c>
      <c r="Q164" s="744"/>
      <c r="R164" s="745"/>
      <c r="S164" s="738"/>
      <c r="T164" s="319"/>
      <c r="U164" s="83"/>
      <c r="V164" s="123">
        <f>VLOOKUP(D164,Poeng!$B$10:$BC$252,Poeng!AG$1,FALSE)</f>
        <v>0</v>
      </c>
      <c r="W164" s="123" t="str">
        <f>VLOOKUP(D164,Poeng!$B$10:$BK$252,Poeng!BK$1,FALSE)</f>
        <v>N/A</v>
      </c>
      <c r="X164" s="81"/>
      <c r="Y164" s="80"/>
      <c r="Z164" s="738"/>
      <c r="AA164" s="133"/>
      <c r="AB164" s="640"/>
      <c r="AC164" s="107">
        <f t="shared" si="21"/>
        <v>1</v>
      </c>
      <c r="AD164" s="3" t="e">
        <f>VLOOKUP(K164,'Assessment Details'!$O$45:$P$48,2,FALSE)</f>
        <v>#N/A</v>
      </c>
      <c r="AE164" s="3" t="e">
        <f>VLOOKUP(R164,'Assessment Details'!$O$45:$P$48,2,FALSE)</f>
        <v>#N/A</v>
      </c>
      <c r="AF164" s="3" t="e">
        <f>VLOOKUP(Y164,'Assessment Details'!$O$45:$P$48,2,FALSE)</f>
        <v>#N/A</v>
      </c>
      <c r="AI164" s="70"/>
      <c r="AJ164" s="671"/>
      <c r="AK164" s="70"/>
      <c r="AL164" s="70"/>
      <c r="AM164" s="70"/>
      <c r="AN164" s="70"/>
      <c r="AO164" s="70"/>
      <c r="AP164" s="70"/>
      <c r="AS164" s="23"/>
      <c r="AT164" s="23"/>
      <c r="AU164" s="23"/>
      <c r="AV164" s="23"/>
      <c r="AW164" s="23"/>
      <c r="AX164" s="23"/>
      <c r="AZ164" s="640"/>
    </row>
    <row r="165" spans="1:52" ht="14.25" customHeight="1" x14ac:dyDescent="0.25">
      <c r="A165" s="1077">
        <v>156</v>
      </c>
      <c r="B165" s="1078" t="s">
        <v>71</v>
      </c>
      <c r="C165" s="1083" t="str">
        <f t="shared" si="19"/>
        <v>LE 01</v>
      </c>
      <c r="D165" s="824" t="s">
        <v>989</v>
      </c>
      <c r="E165" s="1072" t="str">
        <f>VLOOKUP(D165,Poeng!$B$10:$R$252,Poeng!E$1,FALSE)</f>
        <v>Minimum req: agricultural area / forest (EU taxonomy requirement: criterion 2)</v>
      </c>
      <c r="F165" s="122" t="str">
        <f>VLOOKUP(D165,Poeng!$B$10:$AB$252,Poeng!AB$1,FALSE)</f>
        <v>Yes/No</v>
      </c>
      <c r="G165" s="43"/>
      <c r="H165" s="123" t="str">
        <f>VLOOKUP(D165,Poeng!$B$10:$AE$252,Poeng!AE$1,FALSE)</f>
        <v>-</v>
      </c>
      <c r="I165" s="124" t="str">
        <f>VLOOKUP(D165,Poeng!$B$10:$BE$252,Poeng!BE$1,FALSE)</f>
        <v>Very Good</v>
      </c>
      <c r="J165" s="80"/>
      <c r="K165" s="281"/>
      <c r="L165" s="796"/>
      <c r="M165" s="816"/>
      <c r="N165" s="83"/>
      <c r="O165" s="123" t="str">
        <f>VLOOKUP(D165,Poeng!$B$10:$BC$252,Poeng!AF$1,FALSE)</f>
        <v>-</v>
      </c>
      <c r="P165" s="123" t="str">
        <f>VLOOKUP(D165,Poeng!$B$10:$BH$252,Poeng!BH$1,FALSE)</f>
        <v>Very Good</v>
      </c>
      <c r="Q165" s="744"/>
      <c r="R165" s="745"/>
      <c r="S165" s="738"/>
      <c r="T165" s="319"/>
      <c r="U165" s="83"/>
      <c r="V165" s="123" t="str">
        <f>VLOOKUP(D165,Poeng!$B$10:$BC$252,Poeng!AG$1,FALSE)</f>
        <v>-</v>
      </c>
      <c r="W165" s="123" t="str">
        <f>VLOOKUP(D165,Poeng!$B$10:$BK$252,Poeng!BK$1,FALSE)</f>
        <v>Very Good</v>
      </c>
      <c r="X165" s="81"/>
      <c r="Y165" s="80"/>
      <c r="Z165" s="738"/>
      <c r="AA165" s="133"/>
      <c r="AB165" s="640"/>
      <c r="AC165" s="107">
        <f t="shared" ref="AC165" si="27">IF(F165="",1,IF(F165=0,2,1))</f>
        <v>1</v>
      </c>
      <c r="AD165" s="3" t="e">
        <f>VLOOKUP(K165,'Assessment Details'!$O$45:$P$48,2,FALSE)</f>
        <v>#N/A</v>
      </c>
      <c r="AE165" s="3" t="e">
        <f>VLOOKUP(R165,'Assessment Details'!$O$45:$P$48,2,FALSE)</f>
        <v>#N/A</v>
      </c>
      <c r="AF165" s="3" t="e">
        <f>VLOOKUP(Y165,'Assessment Details'!$O$45:$P$48,2,FALSE)</f>
        <v>#N/A</v>
      </c>
      <c r="AI165" s="70"/>
      <c r="AJ165" s="671"/>
      <c r="AK165" s="70"/>
      <c r="AL165" s="70"/>
      <c r="AM165" s="70"/>
      <c r="AN165" s="70"/>
      <c r="AO165" s="70"/>
      <c r="AP165" s="70"/>
      <c r="AS165" s="23"/>
      <c r="AT165" s="23"/>
      <c r="AU165" s="23"/>
      <c r="AV165" s="23"/>
      <c r="AW165" s="23"/>
      <c r="AX165" s="23"/>
      <c r="AZ165" s="640"/>
    </row>
    <row r="166" spans="1:52" x14ac:dyDescent="0.25">
      <c r="A166" s="1077">
        <v>157</v>
      </c>
      <c r="B166" s="1078" t="s">
        <v>71</v>
      </c>
      <c r="C166" s="924" t="s">
        <v>182</v>
      </c>
      <c r="D166" s="824" t="s">
        <v>182</v>
      </c>
      <c r="E166" s="860" t="str">
        <f>VLOOKUP(D166,Poeng!$B$10:$R$252,Poeng!E$1,FALSE)</f>
        <v>LE 02 Ecological risks and opportunities</v>
      </c>
      <c r="F166" s="865">
        <f>VLOOKUP(D166,Poeng!$B$10:$AB$252,Poeng!AB$1,FALSE)</f>
        <v>2</v>
      </c>
      <c r="G166" s="1001"/>
      <c r="H166" s="866" t="str">
        <f>VLOOKUP(D166,Poeng!$B$10:$AI$252,Poeng!AI$1,FALSE)&amp;" c. "&amp;ROUND(VLOOKUP(D166,Poeng!$B$10:$AE$252,Poeng!AE$1,FALSE)*100,1)&amp;" %"</f>
        <v>0 c. 0 %</v>
      </c>
      <c r="I166" s="924" t="str">
        <f>VLOOKUP(D166,Poeng!$B$10:$BE$252,Poeng!BE$1,FALSE)</f>
        <v>N/A</v>
      </c>
      <c r="J166" s="80"/>
      <c r="K166" s="281"/>
      <c r="L166" s="796"/>
      <c r="M166" s="816"/>
      <c r="N166" s="1001"/>
      <c r="O166" s="877" t="str">
        <f>VLOOKUP(D166,Poeng!$B$10:$BC$252,Poeng!AJ$1,FALSE)&amp;" c. "&amp;ROUND(VLOOKUP(D166,Poeng!$B$10:$BC$252,Poeng!AF$1,FALSE)*100,1)&amp;" %"</f>
        <v>0 c. 0 %</v>
      </c>
      <c r="P166" s="123" t="str">
        <f>VLOOKUP(D166,Poeng!$B$10:$BH$252,Poeng!BH$1,FALSE)</f>
        <v>N/A</v>
      </c>
      <c r="Q166" s="744"/>
      <c r="R166" s="745"/>
      <c r="S166" s="738"/>
      <c r="T166" s="319"/>
      <c r="U166" s="1001"/>
      <c r="V166" s="877" t="str">
        <f>VLOOKUP(D166,Poeng!$B$10:$BC$252,Poeng!AK$1,FALSE)&amp;" c. "&amp;ROUND(VLOOKUP(D166,Poeng!$B$10:$BC$252,Poeng!AG$1,FALSE)*100,1)&amp;" %"</f>
        <v>0 c. 0 %</v>
      </c>
      <c r="W166" s="123" t="str">
        <f>VLOOKUP(D166,Poeng!$B$10:$BK$252,Poeng!BK$1,FALSE)</f>
        <v>N/A</v>
      </c>
      <c r="X166" s="81"/>
      <c r="Y166" s="80"/>
      <c r="Z166" s="738"/>
      <c r="AA166" s="133"/>
      <c r="AB166" s="640" t="s">
        <v>14</v>
      </c>
      <c r="AC166" s="107">
        <f t="shared" si="21"/>
        <v>1</v>
      </c>
      <c r="AD166" s="3" t="e">
        <f>VLOOKUP(K166,'Assessment Details'!$O$45:$P$48,2,FALSE)</f>
        <v>#N/A</v>
      </c>
      <c r="AE166" s="3" t="e">
        <f>VLOOKUP(R166,'Assessment Details'!$O$45:$P$48,2,FALSE)</f>
        <v>#N/A</v>
      </c>
      <c r="AF166" s="3" t="e">
        <f>VLOOKUP(Y166,'Assessment Details'!$O$45:$P$48,2,FALSE)</f>
        <v>#N/A</v>
      </c>
      <c r="AI166" s="70"/>
      <c r="AJ166" s="671" t="s">
        <v>162</v>
      </c>
      <c r="AK166" s="70"/>
      <c r="AL166" s="70"/>
      <c r="AM166" s="70"/>
      <c r="AN166" s="70"/>
      <c r="AO166" s="70"/>
      <c r="AP166" s="70"/>
      <c r="AS166" s="23" t="str">
        <f t="shared" si="24"/>
        <v>N/A</v>
      </c>
      <c r="AT166" s="23" t="str">
        <f t="shared" si="25"/>
        <v>N/A</v>
      </c>
      <c r="AU166" s="23" t="str">
        <f t="shared" si="26"/>
        <v>N/A</v>
      </c>
      <c r="AV166" s="23"/>
      <c r="AW166" s="23"/>
      <c r="AX166" s="23"/>
      <c r="AZ166" s="640"/>
    </row>
    <row r="167" spans="1:52" x14ac:dyDescent="0.25">
      <c r="A167" s="1077">
        <v>158</v>
      </c>
      <c r="B167" s="1078" t="s">
        <v>71</v>
      </c>
      <c r="C167" s="1083" t="str">
        <f t="shared" si="19"/>
        <v>LE 02</v>
      </c>
      <c r="D167" s="824" t="s">
        <v>799</v>
      </c>
      <c r="E167" s="861" t="str">
        <f>VLOOKUP(D167,Poeng!$B$10:$R$252,Poeng!E$1,FALSE)</f>
        <v>Pre-requisite: statutory obligations fulfilled</v>
      </c>
      <c r="F167" s="122" t="str">
        <f>VLOOKUP(D167,Poeng!$B$10:$AB$252,Poeng!AB$1,FALSE)</f>
        <v>Yes/No</v>
      </c>
      <c r="G167" s="43"/>
      <c r="H167" s="123" t="str">
        <f>VLOOKUP(D167,Poeng!$B$10:$AE$252,Poeng!AE$1,FALSE)</f>
        <v>-</v>
      </c>
      <c r="I167" s="124" t="str">
        <f>VLOOKUP(D167,Poeng!$B$10:$BE$252,Poeng!BE$1,FALSE)</f>
        <v>N/A</v>
      </c>
      <c r="J167" s="80"/>
      <c r="K167" s="281"/>
      <c r="L167" s="796"/>
      <c r="M167" s="816"/>
      <c r="N167" s="83"/>
      <c r="O167" s="123" t="str">
        <f>VLOOKUP(D167,Poeng!$B$10:$BC$252,Poeng!AF$1,FALSE)</f>
        <v>-</v>
      </c>
      <c r="P167" s="123" t="str">
        <f>VLOOKUP(D167,Poeng!$B$10:$BH$252,Poeng!BH$1,FALSE)</f>
        <v>N/A</v>
      </c>
      <c r="Q167" s="744"/>
      <c r="R167" s="745"/>
      <c r="S167" s="738"/>
      <c r="T167" s="319"/>
      <c r="U167" s="83"/>
      <c r="V167" s="123" t="str">
        <f>VLOOKUP(D167,Poeng!$B$10:$BC$252,Poeng!AG$1,FALSE)</f>
        <v>-</v>
      </c>
      <c r="W167" s="123" t="str">
        <f>VLOOKUP(D167,Poeng!$B$10:$BK$252,Poeng!BK$1,FALSE)</f>
        <v>N/A</v>
      </c>
      <c r="X167" s="81"/>
      <c r="Y167" s="80"/>
      <c r="Z167" s="738"/>
      <c r="AA167" s="133"/>
      <c r="AB167" s="640"/>
      <c r="AC167" s="107">
        <f t="shared" si="21"/>
        <v>1</v>
      </c>
      <c r="AD167" s="3" t="e">
        <f>VLOOKUP(K167,'Assessment Details'!$O$45:$P$48,2,FALSE)</f>
        <v>#N/A</v>
      </c>
      <c r="AE167" s="3" t="e">
        <f>VLOOKUP(R167,'Assessment Details'!$O$45:$P$48,2,FALSE)</f>
        <v>#N/A</v>
      </c>
      <c r="AF167" s="3" t="e">
        <f>VLOOKUP(Y167,'Assessment Details'!$O$45:$P$48,2,FALSE)</f>
        <v>#N/A</v>
      </c>
      <c r="AI167" s="70"/>
      <c r="AJ167" s="671"/>
      <c r="AK167" s="70"/>
      <c r="AL167" s="70"/>
      <c r="AM167" s="70"/>
      <c r="AN167" s="70"/>
      <c r="AO167" s="70"/>
      <c r="AP167" s="70"/>
      <c r="AS167" s="23"/>
      <c r="AT167" s="23"/>
      <c r="AU167" s="23"/>
      <c r="AV167" s="23"/>
      <c r="AW167" s="23"/>
      <c r="AX167" s="23"/>
      <c r="AZ167" s="640"/>
    </row>
    <row r="168" spans="1:52" x14ac:dyDescent="0.25">
      <c r="A168" s="1077">
        <v>159</v>
      </c>
      <c r="B168" s="1078" t="s">
        <v>71</v>
      </c>
      <c r="C168" s="1083" t="str">
        <f t="shared" si="19"/>
        <v>LE 02</v>
      </c>
      <c r="D168" s="824" t="s">
        <v>800</v>
      </c>
      <c r="E168" s="861" t="str">
        <f>VLOOKUP(D168,Poeng!$B$10:$R$252,Poeng!E$1,FALSE)</f>
        <v>Survey and evaluation (EU taxonomy requirement: criterion 2-4)</v>
      </c>
      <c r="F168" s="122">
        <f>VLOOKUP(D168,Poeng!$B$10:$AB$252,Poeng!AB$1,FALSE)</f>
        <v>1</v>
      </c>
      <c r="G168" s="43"/>
      <c r="H168" s="123">
        <f>VLOOKUP(D168,Poeng!$B$10:$AE$252,Poeng!AE$1,FALSE)</f>
        <v>0</v>
      </c>
      <c r="I168" s="124" t="str">
        <f>VLOOKUP(D168,Poeng!$B$10:$BE$252,Poeng!BE$1,FALSE)</f>
        <v>Good</v>
      </c>
      <c r="J168" s="80"/>
      <c r="K168" s="281"/>
      <c r="L168" s="796"/>
      <c r="M168" s="816"/>
      <c r="N168" s="83"/>
      <c r="O168" s="123">
        <f>VLOOKUP(D168,Poeng!$B$10:$BC$252,Poeng!AF$1,FALSE)</f>
        <v>0</v>
      </c>
      <c r="P168" s="123" t="str">
        <f>VLOOKUP(D168,Poeng!$B$10:$BH$252,Poeng!BH$1,FALSE)</f>
        <v>Good</v>
      </c>
      <c r="Q168" s="744"/>
      <c r="R168" s="745"/>
      <c r="S168" s="738"/>
      <c r="T168" s="319"/>
      <c r="U168" s="83"/>
      <c r="V168" s="123">
        <f>VLOOKUP(D168,Poeng!$B$10:$BC$252,Poeng!AG$1,FALSE)</f>
        <v>0</v>
      </c>
      <c r="W168" s="123" t="str">
        <f>VLOOKUP(D168,Poeng!$B$10:$BK$252,Poeng!BK$1,FALSE)</f>
        <v>Good</v>
      </c>
      <c r="X168" s="81"/>
      <c r="Y168" s="80"/>
      <c r="Z168" s="738"/>
      <c r="AA168" s="133"/>
      <c r="AB168" s="640"/>
      <c r="AC168" s="107">
        <f t="shared" si="21"/>
        <v>1</v>
      </c>
      <c r="AD168" s="3" t="e">
        <f>VLOOKUP(K168,'Assessment Details'!$O$45:$P$48,2,FALSE)</f>
        <v>#N/A</v>
      </c>
      <c r="AE168" s="3" t="e">
        <f>VLOOKUP(R168,'Assessment Details'!$O$45:$P$48,2,FALSE)</f>
        <v>#N/A</v>
      </c>
      <c r="AF168" s="3" t="e">
        <f>VLOOKUP(Y168,'Assessment Details'!$O$45:$P$48,2,FALSE)</f>
        <v>#N/A</v>
      </c>
      <c r="AI168" s="70"/>
      <c r="AJ168" s="671"/>
      <c r="AK168" s="70"/>
      <c r="AL168" s="70"/>
      <c r="AM168" s="70"/>
      <c r="AN168" s="70"/>
      <c r="AO168" s="70"/>
      <c r="AP168" s="70"/>
      <c r="AS168" s="23"/>
      <c r="AT168" s="23"/>
      <c r="AU168" s="23"/>
      <c r="AV168" s="23"/>
      <c r="AW168" s="23"/>
      <c r="AX168" s="23"/>
      <c r="AZ168" s="640"/>
    </row>
    <row r="169" spans="1:52" x14ac:dyDescent="0.25">
      <c r="A169" s="1077">
        <v>160</v>
      </c>
      <c r="B169" s="1078" t="s">
        <v>71</v>
      </c>
      <c r="C169" s="1083" t="str">
        <f t="shared" si="19"/>
        <v>LE 02</v>
      </c>
      <c r="D169" s="824" t="s">
        <v>801</v>
      </c>
      <c r="E169" s="861" t="str">
        <f>VLOOKUP(D169,Poeng!$B$10:$R$252,Poeng!E$1,FALSE)</f>
        <v>Determin ecological possibilities</v>
      </c>
      <c r="F169" s="122">
        <f>VLOOKUP(D169,Poeng!$B$10:$AB$252,Poeng!AB$1,FALSE)</f>
        <v>1</v>
      </c>
      <c r="G169" s="43"/>
      <c r="H169" s="123">
        <f>VLOOKUP(D169,Poeng!$B$10:$AE$252,Poeng!AE$1,FALSE)</f>
        <v>0</v>
      </c>
      <c r="I169" s="124" t="str">
        <f>VLOOKUP(D169,Poeng!$B$10:$BE$252,Poeng!BE$1,FALSE)</f>
        <v>N/A</v>
      </c>
      <c r="J169" s="80"/>
      <c r="K169" s="281"/>
      <c r="L169" s="796"/>
      <c r="M169" s="816"/>
      <c r="N169" s="83"/>
      <c r="O169" s="123">
        <f>VLOOKUP(D169,Poeng!$B$10:$BC$252,Poeng!AF$1,FALSE)</f>
        <v>0</v>
      </c>
      <c r="P169" s="123" t="str">
        <f>VLOOKUP(D169,Poeng!$B$10:$BH$252,Poeng!BH$1,FALSE)</f>
        <v>N/A</v>
      </c>
      <c r="Q169" s="744"/>
      <c r="R169" s="745"/>
      <c r="S169" s="738"/>
      <c r="T169" s="319"/>
      <c r="U169" s="83"/>
      <c r="V169" s="123">
        <f>VLOOKUP(D169,Poeng!$B$10:$BC$252,Poeng!AG$1,FALSE)</f>
        <v>0</v>
      </c>
      <c r="W169" s="123" t="str">
        <f>VLOOKUP(D169,Poeng!$B$10:$BK$252,Poeng!BK$1,FALSE)</f>
        <v>N/A</v>
      </c>
      <c r="X169" s="81"/>
      <c r="Y169" s="80"/>
      <c r="Z169" s="738"/>
      <c r="AA169" s="133"/>
      <c r="AB169" s="640"/>
      <c r="AC169" s="107">
        <f t="shared" si="21"/>
        <v>1</v>
      </c>
      <c r="AD169" s="3" t="e">
        <f>VLOOKUP(K169,'Assessment Details'!$O$45:$P$48,2,FALSE)</f>
        <v>#N/A</v>
      </c>
      <c r="AE169" s="3" t="e">
        <f>VLOOKUP(R169,'Assessment Details'!$O$45:$P$48,2,FALSE)</f>
        <v>#N/A</v>
      </c>
      <c r="AF169" s="3" t="e">
        <f>VLOOKUP(Y169,'Assessment Details'!$O$45:$P$48,2,FALSE)</f>
        <v>#N/A</v>
      </c>
      <c r="AI169" s="70"/>
      <c r="AJ169" s="671"/>
      <c r="AK169" s="70"/>
      <c r="AL169" s="70"/>
      <c r="AM169" s="70"/>
      <c r="AN169" s="70"/>
      <c r="AO169" s="70"/>
      <c r="AP169" s="70"/>
      <c r="AS169" s="23"/>
      <c r="AT169" s="23"/>
      <c r="AU169" s="23"/>
      <c r="AV169" s="23"/>
      <c r="AW169" s="23"/>
      <c r="AX169" s="23"/>
      <c r="AZ169" s="640"/>
    </row>
    <row r="170" spans="1:52" x14ac:dyDescent="0.25">
      <c r="A170" s="1077">
        <v>161</v>
      </c>
      <c r="B170" s="1078" t="s">
        <v>71</v>
      </c>
      <c r="C170" s="924" t="s">
        <v>481</v>
      </c>
      <c r="D170" s="824" t="s">
        <v>481</v>
      </c>
      <c r="E170" s="860" t="str">
        <f>VLOOKUP(D170,Poeng!$B$10:$R$252,Poeng!E$1,FALSE)</f>
        <v>LE 03 Managing impacts on ecology</v>
      </c>
      <c r="F170" s="865">
        <f>VLOOKUP(D170,Poeng!$B$10:$AB$252,Poeng!AB$1,FALSE)</f>
        <v>3</v>
      </c>
      <c r="G170" s="1001"/>
      <c r="H170" s="866" t="str">
        <f>VLOOKUP(D170,Poeng!$B$10:$AI$252,Poeng!AI$1,FALSE)&amp;" c. "&amp;ROUND(VLOOKUP(D170,Poeng!$B$10:$AE$252,Poeng!AE$1,FALSE)*100,1)&amp;" %"</f>
        <v>0 c. 0 %</v>
      </c>
      <c r="I170" s="924" t="str">
        <f>VLOOKUP(D170,Poeng!$B$10:$BE$252,Poeng!BE$1,FALSE)</f>
        <v>N/A</v>
      </c>
      <c r="J170" s="80"/>
      <c r="K170" s="281"/>
      <c r="L170" s="796"/>
      <c r="M170" s="816"/>
      <c r="N170" s="1001"/>
      <c r="O170" s="877" t="str">
        <f>VLOOKUP(D170,Poeng!$B$10:$BC$252,Poeng!AJ$1,FALSE)&amp;" c. "&amp;ROUND(VLOOKUP(D170,Poeng!$B$10:$BC$252,Poeng!AF$1,FALSE)*100,1)&amp;" %"</f>
        <v>0 c. 0 %</v>
      </c>
      <c r="P170" s="123" t="str">
        <f>VLOOKUP(D170,Poeng!$B$10:$BH$252,Poeng!BH$1,FALSE)</f>
        <v>N/A</v>
      </c>
      <c r="Q170" s="744"/>
      <c r="R170" s="745"/>
      <c r="S170" s="738"/>
      <c r="T170" s="319"/>
      <c r="U170" s="1001"/>
      <c r="V170" s="877" t="str">
        <f>VLOOKUP(D170,Poeng!$B$10:$BC$252,Poeng!AK$1,FALSE)&amp;" c. "&amp;ROUND(VLOOKUP(D170,Poeng!$B$10:$BC$252,Poeng!AG$1,FALSE)*100,1)&amp;" %"</f>
        <v>0 c. 0 %</v>
      </c>
      <c r="W170" s="123" t="str">
        <f>VLOOKUP(D170,Poeng!$B$10:$BK$252,Poeng!BK$1,FALSE)</f>
        <v>N/A</v>
      </c>
      <c r="X170" s="81"/>
      <c r="Y170" s="80"/>
      <c r="Z170" s="738"/>
      <c r="AA170" s="133"/>
      <c r="AB170" s="640"/>
      <c r="AC170" s="107">
        <f t="shared" si="21"/>
        <v>1</v>
      </c>
      <c r="AD170" s="3" t="e">
        <f>VLOOKUP(K170,'Assessment Details'!$O$45:$P$48,2,FALSE)</f>
        <v>#N/A</v>
      </c>
      <c r="AE170" s="3" t="e">
        <f>VLOOKUP(R170,'Assessment Details'!$O$45:$P$48,2,FALSE)</f>
        <v>#N/A</v>
      </c>
      <c r="AF170" s="3" t="e">
        <f>VLOOKUP(Y170,'Assessment Details'!$O$45:$P$48,2,FALSE)</f>
        <v>#N/A</v>
      </c>
      <c r="AI170" s="70"/>
      <c r="AJ170" s="671"/>
      <c r="AK170" s="70"/>
      <c r="AL170" s="70"/>
      <c r="AM170" s="70"/>
      <c r="AN170" s="70"/>
      <c r="AO170" s="70"/>
      <c r="AP170" s="70"/>
      <c r="AS170" s="23"/>
      <c r="AT170" s="23"/>
      <c r="AU170" s="23"/>
      <c r="AV170" s="23"/>
      <c r="AW170" s="23"/>
      <c r="AX170" s="23"/>
      <c r="AZ170" s="640"/>
    </row>
    <row r="171" spans="1:52" x14ac:dyDescent="0.25">
      <c r="A171" s="1077">
        <v>162</v>
      </c>
      <c r="B171" s="1078" t="s">
        <v>71</v>
      </c>
      <c r="C171" s="1083" t="s">
        <v>481</v>
      </c>
      <c r="D171" s="824" t="s">
        <v>803</v>
      </c>
      <c r="E171" s="861" t="str">
        <f>VLOOKUP(D171,Poeng!$B$10:$R$252,Poeng!E$1,FALSE)</f>
        <v>Planning and measures on site (EU taxonomy requirement: criterion 2-6)</v>
      </c>
      <c r="F171" s="122">
        <f>VLOOKUP(D171,Poeng!$B$10:$AB$252,Poeng!AB$1,FALSE)</f>
        <v>1</v>
      </c>
      <c r="G171" s="43"/>
      <c r="H171" s="123">
        <f>VLOOKUP(D171,Poeng!$B$10:$AE$252,Poeng!AE$1,FALSE)</f>
        <v>0</v>
      </c>
      <c r="I171" s="124" t="str">
        <f>VLOOKUP(D171,Poeng!$B$10:$BE$252,Poeng!BE$1,FALSE)</f>
        <v>N/A</v>
      </c>
      <c r="J171" s="80"/>
      <c r="K171" s="281"/>
      <c r="L171" s="796"/>
      <c r="M171" s="816"/>
      <c r="N171" s="83"/>
      <c r="O171" s="123">
        <f>VLOOKUP(D171,Poeng!$B$10:$BC$252,Poeng!AF$1,FALSE)</f>
        <v>0</v>
      </c>
      <c r="P171" s="123" t="str">
        <f>VLOOKUP(D171,Poeng!$B$10:$BH$252,Poeng!BH$1,FALSE)</f>
        <v>N/A</v>
      </c>
      <c r="Q171" s="744"/>
      <c r="R171" s="745"/>
      <c r="S171" s="1096"/>
      <c r="T171" s="319"/>
      <c r="U171" s="83"/>
      <c r="V171" s="123">
        <f>VLOOKUP(D171,Poeng!$B$10:$BC$252,Poeng!AG$1,FALSE)</f>
        <v>0</v>
      </c>
      <c r="W171" s="123" t="str">
        <f>VLOOKUP(D171,Poeng!$B$10:$BK$252,Poeng!BK$1,FALSE)</f>
        <v>N/A</v>
      </c>
      <c r="X171" s="81"/>
      <c r="Y171" s="80"/>
      <c r="Z171" s="1096"/>
      <c r="AA171" s="133"/>
      <c r="AB171" s="640"/>
      <c r="AC171" s="107">
        <f t="shared" si="21"/>
        <v>1</v>
      </c>
      <c r="AD171" s="3" t="e">
        <f>VLOOKUP(K171,'Assessment Details'!$O$45:$P$48,2,FALSE)</f>
        <v>#N/A</v>
      </c>
      <c r="AE171" s="3" t="e">
        <f>VLOOKUP(R171,'Assessment Details'!$O$45:$P$48,2,FALSE)</f>
        <v>#N/A</v>
      </c>
      <c r="AF171" s="3" t="e">
        <f>VLOOKUP(Y171,'Assessment Details'!$O$45:$P$48,2,FALSE)</f>
        <v>#N/A</v>
      </c>
      <c r="AI171" s="70"/>
      <c r="AJ171" s="671"/>
      <c r="AK171" s="70"/>
      <c r="AL171" s="70"/>
      <c r="AM171" s="70"/>
      <c r="AN171" s="70"/>
      <c r="AO171" s="70"/>
      <c r="AP171" s="70"/>
      <c r="AS171" s="23"/>
      <c r="AT171" s="23"/>
      <c r="AU171" s="23"/>
      <c r="AV171" s="23"/>
      <c r="AW171" s="23"/>
      <c r="AX171" s="23"/>
      <c r="AZ171" s="640"/>
    </row>
    <row r="172" spans="1:52" x14ac:dyDescent="0.25">
      <c r="A172" s="1077">
        <v>163</v>
      </c>
      <c r="B172" s="1078" t="s">
        <v>71</v>
      </c>
      <c r="C172" s="1083" t="s">
        <v>481</v>
      </c>
      <c r="D172" s="824" t="s">
        <v>804</v>
      </c>
      <c r="E172" s="861" t="str">
        <f>VLOOKUP(D172,Poeng!$B$10:$R$252,Poeng!E$1,FALSE)</f>
        <v>Managing negative impacts (EU taxonomy requirement: criterion 2-6)</v>
      </c>
      <c r="F172" s="122">
        <f>VLOOKUP(D172,Poeng!$B$10:$AB$252,Poeng!AB$1,FALSE)</f>
        <v>2</v>
      </c>
      <c r="G172" s="43"/>
      <c r="H172" s="123">
        <f>VLOOKUP(D172,Poeng!$B$10:$AE$252,Poeng!AE$1,FALSE)</f>
        <v>0</v>
      </c>
      <c r="I172" s="124" t="str">
        <f>VLOOKUP(D172,Poeng!$B$10:$BE$252,Poeng!BE$1,FALSE)</f>
        <v>N/A</v>
      </c>
      <c r="J172" s="80"/>
      <c r="K172" s="281"/>
      <c r="L172" s="796"/>
      <c r="M172" s="816"/>
      <c r="N172" s="83"/>
      <c r="O172" s="123">
        <f>VLOOKUP(D172,Poeng!$B$10:$BC$252,Poeng!AF$1,FALSE)</f>
        <v>0</v>
      </c>
      <c r="P172" s="123" t="str">
        <f>VLOOKUP(D172,Poeng!$B$10:$BH$252,Poeng!BH$1,FALSE)</f>
        <v>N/A</v>
      </c>
      <c r="Q172" s="744"/>
      <c r="R172" s="745"/>
      <c r="S172" s="1096"/>
      <c r="T172" s="319"/>
      <c r="U172" s="83"/>
      <c r="V172" s="123">
        <f>VLOOKUP(D172,Poeng!$B$10:$BC$252,Poeng!AG$1,FALSE)</f>
        <v>0</v>
      </c>
      <c r="W172" s="123" t="str">
        <f>VLOOKUP(D172,Poeng!$B$10:$BK$252,Poeng!BK$1,FALSE)</f>
        <v>N/A</v>
      </c>
      <c r="X172" s="81"/>
      <c r="Y172" s="80"/>
      <c r="Z172" s="1096"/>
      <c r="AA172" s="133"/>
      <c r="AB172" s="640"/>
      <c r="AC172" s="107">
        <f t="shared" si="21"/>
        <v>1</v>
      </c>
      <c r="AD172" s="3" t="e">
        <f>VLOOKUP(K172,'Assessment Details'!$O$45:$P$48,2,FALSE)</f>
        <v>#N/A</v>
      </c>
      <c r="AE172" s="3" t="e">
        <f>VLOOKUP(R172,'Assessment Details'!$O$45:$P$48,2,FALSE)</f>
        <v>#N/A</v>
      </c>
      <c r="AF172" s="3" t="e">
        <f>VLOOKUP(Y172,'Assessment Details'!$O$45:$P$48,2,FALSE)</f>
        <v>#N/A</v>
      </c>
      <c r="AI172" s="70"/>
      <c r="AJ172" s="671"/>
      <c r="AK172" s="70"/>
      <c r="AL172" s="70"/>
      <c r="AM172" s="70"/>
      <c r="AN172" s="70"/>
      <c r="AO172" s="70"/>
      <c r="AP172" s="70"/>
      <c r="AS172" s="23"/>
      <c r="AT172" s="23"/>
      <c r="AU172" s="23"/>
      <c r="AV172" s="23"/>
      <c r="AW172" s="23"/>
      <c r="AX172" s="23"/>
      <c r="AZ172" s="640"/>
    </row>
    <row r="173" spans="1:52" x14ac:dyDescent="0.25">
      <c r="A173" s="1077">
        <v>164</v>
      </c>
      <c r="B173" s="1078" t="s">
        <v>71</v>
      </c>
      <c r="C173" s="924" t="s">
        <v>183</v>
      </c>
      <c r="D173" s="824" t="s">
        <v>183</v>
      </c>
      <c r="E173" s="860" t="str">
        <f>VLOOKUP(D173,Poeng!$B$10:$R$252,Poeng!E$1,FALSE)</f>
        <v>LE 04 Ecological change and enhancement</v>
      </c>
      <c r="F173" s="865">
        <f>VLOOKUP(D173,Poeng!$B$10:$AB$252,Poeng!AB$1,FALSE)</f>
        <v>4</v>
      </c>
      <c r="G173" s="1001"/>
      <c r="H173" s="866" t="str">
        <f>VLOOKUP(D173,Poeng!$B$10:$AI$252,Poeng!AI$1,FALSE)&amp;" c. "&amp;ROUND(VLOOKUP(D173,Poeng!$B$10:$AE$252,Poeng!AE$1,FALSE)*100,1)&amp;" %"</f>
        <v>0 c. 0 %</v>
      </c>
      <c r="I173" s="924" t="str">
        <f>VLOOKUP(D173,Poeng!$B$10:$BE$252,Poeng!BE$1,FALSE)</f>
        <v>N/A</v>
      </c>
      <c r="J173" s="80"/>
      <c r="K173" s="281"/>
      <c r="L173" s="796"/>
      <c r="M173" s="816"/>
      <c r="N173" s="1001"/>
      <c r="O173" s="877" t="str">
        <f>VLOOKUP(D173,Poeng!$B$10:$BC$252,Poeng!AJ$1,FALSE)&amp;" c. "&amp;ROUND(VLOOKUP(D173,Poeng!$B$10:$BC$252,Poeng!AF$1,FALSE)*100,1)&amp;" %"</f>
        <v>0 c. 0 %</v>
      </c>
      <c r="P173" s="123" t="str">
        <f>VLOOKUP(D173,Poeng!$B$10:$BH$252,Poeng!BH$1,FALSE)</f>
        <v>N/A</v>
      </c>
      <c r="Q173" s="744"/>
      <c r="R173" s="745"/>
      <c r="S173" s="1096"/>
      <c r="T173" s="319"/>
      <c r="U173" s="1001"/>
      <c r="V173" s="877" t="str">
        <f>VLOOKUP(D173,Poeng!$B$10:$BC$252,Poeng!AK$1,FALSE)&amp;" c. "&amp;ROUND(VLOOKUP(D173,Poeng!$B$10:$BC$252,Poeng!AG$1,FALSE)*100,1)&amp;" %"</f>
        <v>0 c. 0 %</v>
      </c>
      <c r="W173" s="123" t="str">
        <f>VLOOKUP(D173,Poeng!$B$10:$BK$252,Poeng!BK$1,FALSE)</f>
        <v>N/A</v>
      </c>
      <c r="X173" s="81"/>
      <c r="Y173" s="80"/>
      <c r="Z173" s="1096"/>
      <c r="AA173" s="133"/>
      <c r="AB173" s="640" t="s">
        <v>14</v>
      </c>
      <c r="AC173" s="107">
        <f t="shared" si="21"/>
        <v>1</v>
      </c>
      <c r="AD173" s="3" t="e">
        <f>VLOOKUP(K173,'Assessment Details'!$O$45:$P$48,2,FALSE)</f>
        <v>#N/A</v>
      </c>
      <c r="AE173" s="3" t="e">
        <f>VLOOKUP(R173,'Assessment Details'!$O$45:$P$48,2,FALSE)</f>
        <v>#N/A</v>
      </c>
      <c r="AF173" s="3" t="e">
        <f>VLOOKUP(Y173,'Assessment Details'!$O$45:$P$48,2,FALSE)</f>
        <v>#N/A</v>
      </c>
      <c r="AI173" s="70"/>
      <c r="AJ173" s="671" t="s">
        <v>163</v>
      </c>
      <c r="AK173" s="70"/>
      <c r="AL173" s="70"/>
      <c r="AM173" s="70"/>
      <c r="AN173" s="70"/>
      <c r="AO173" s="70"/>
      <c r="AP173" s="70"/>
      <c r="AS173" s="23" t="str">
        <f t="shared" si="24"/>
        <v>N/A</v>
      </c>
      <c r="AT173" s="23" t="str">
        <f t="shared" si="25"/>
        <v>N/A</v>
      </c>
      <c r="AU173" s="23" t="str">
        <f t="shared" si="26"/>
        <v>N/A</v>
      </c>
      <c r="AV173" s="23"/>
      <c r="AW173" s="23"/>
      <c r="AX173" s="23"/>
      <c r="AZ173" s="640"/>
    </row>
    <row r="174" spans="1:52" x14ac:dyDescent="0.25">
      <c r="A174" s="1077">
        <v>165</v>
      </c>
      <c r="B174" s="1078" t="s">
        <v>71</v>
      </c>
      <c r="C174" s="1083" t="str">
        <f t="shared" si="19"/>
        <v>LE 04</v>
      </c>
      <c r="D174" s="824" t="s">
        <v>805</v>
      </c>
      <c r="E174" s="861" t="str">
        <f>VLOOKUP(D174,Poeng!$B$10:$R$252,Poeng!E$1,FALSE)</f>
        <v>Pre-requisite: managing negative impacts on ecology</v>
      </c>
      <c r="F174" s="122" t="str">
        <f>VLOOKUP(D174,Poeng!$B$10:$AB$252,Poeng!AB$1,FALSE)</f>
        <v>Yes/No</v>
      </c>
      <c r="G174" s="43"/>
      <c r="H174" s="123" t="str">
        <f>VLOOKUP(D174,Poeng!$B$10:$AE$252,Poeng!AE$1,FALSE)</f>
        <v>-</v>
      </c>
      <c r="I174" s="124" t="str">
        <f>VLOOKUP(D174,Poeng!$B$10:$BE$252,Poeng!BE$1,FALSE)</f>
        <v>N/A</v>
      </c>
      <c r="J174" s="80"/>
      <c r="K174" s="281"/>
      <c r="L174" s="796"/>
      <c r="M174" s="816"/>
      <c r="N174" s="83"/>
      <c r="O174" s="123" t="str">
        <f>VLOOKUP(D174,Poeng!$B$10:$BC$252,Poeng!AF$1,FALSE)</f>
        <v>-</v>
      </c>
      <c r="P174" s="123" t="str">
        <f>VLOOKUP(D174,Poeng!$B$10:$BH$252,Poeng!BH$1,FALSE)</f>
        <v>N/A</v>
      </c>
      <c r="Q174" s="744"/>
      <c r="R174" s="745"/>
      <c r="S174" s="738"/>
      <c r="T174" s="319"/>
      <c r="U174" s="83"/>
      <c r="V174" s="123" t="str">
        <f>VLOOKUP(D174,Poeng!$B$10:$BC$252,Poeng!AG$1,FALSE)</f>
        <v>-</v>
      </c>
      <c r="W174" s="123" t="str">
        <f>VLOOKUP(D174,Poeng!$B$10:$BK$252,Poeng!BK$1,FALSE)</f>
        <v>N/A</v>
      </c>
      <c r="X174" s="81"/>
      <c r="Y174" s="80"/>
      <c r="Z174" s="738"/>
      <c r="AA174" s="133"/>
      <c r="AB174" s="640"/>
      <c r="AC174" s="107">
        <f t="shared" si="21"/>
        <v>1</v>
      </c>
      <c r="AD174" s="3" t="e">
        <f>VLOOKUP(K174,'Assessment Details'!$O$45:$P$48,2,FALSE)</f>
        <v>#N/A</v>
      </c>
      <c r="AE174" s="3" t="e">
        <f>VLOOKUP(R174,'Assessment Details'!$O$45:$P$48,2,FALSE)</f>
        <v>#N/A</v>
      </c>
      <c r="AF174" s="3" t="e">
        <f>VLOOKUP(Y174,'Assessment Details'!$O$45:$P$48,2,FALSE)</f>
        <v>#N/A</v>
      </c>
      <c r="AI174" s="70"/>
      <c r="AJ174" s="671"/>
      <c r="AK174" s="70"/>
      <c r="AL174" s="70"/>
      <c r="AM174" s="70"/>
      <c r="AN174" s="70"/>
      <c r="AO174" s="70"/>
      <c r="AP174" s="70"/>
      <c r="AS174" s="23"/>
      <c r="AT174" s="23"/>
      <c r="AU174" s="23"/>
      <c r="AV174" s="23"/>
      <c r="AW174" s="23"/>
      <c r="AX174" s="23"/>
      <c r="AZ174" s="640"/>
    </row>
    <row r="175" spans="1:52" x14ac:dyDescent="0.25">
      <c r="A175" s="1077">
        <v>166</v>
      </c>
      <c r="B175" s="1078" t="s">
        <v>71</v>
      </c>
      <c r="C175" s="1083" t="str">
        <f t="shared" si="19"/>
        <v>LE 04</v>
      </c>
      <c r="D175" s="824" t="s">
        <v>806</v>
      </c>
      <c r="E175" s="861" t="str">
        <f>VLOOKUP(D175,Poeng!$B$10:$R$252,Poeng!E$1,FALSE)</f>
        <v>Ecological enhancement</v>
      </c>
      <c r="F175" s="122">
        <f>VLOOKUP(D175,Poeng!$B$10:$AB$252,Poeng!AB$1,FALSE)</f>
        <v>1</v>
      </c>
      <c r="G175" s="43"/>
      <c r="H175" s="123">
        <f>VLOOKUP(D175,Poeng!$B$10:$AE$252,Poeng!AE$1,FALSE)</f>
        <v>0</v>
      </c>
      <c r="I175" s="124" t="str">
        <f>VLOOKUP(D175,Poeng!$B$10:$BE$252,Poeng!BE$1,FALSE)</f>
        <v>Excellent</v>
      </c>
      <c r="J175" s="80"/>
      <c r="K175" s="281"/>
      <c r="L175" s="796"/>
      <c r="M175" s="816"/>
      <c r="N175" s="83"/>
      <c r="O175" s="123">
        <f>VLOOKUP(D175,Poeng!$B$10:$BC$252,Poeng!AF$1,FALSE)</f>
        <v>0</v>
      </c>
      <c r="P175" s="123" t="str">
        <f>VLOOKUP(D175,Poeng!$B$10:$BH$252,Poeng!BH$1,FALSE)</f>
        <v>Excellent</v>
      </c>
      <c r="Q175" s="744"/>
      <c r="R175" s="745"/>
      <c r="S175" s="738"/>
      <c r="T175" s="319"/>
      <c r="U175" s="83"/>
      <c r="V175" s="123">
        <f>VLOOKUP(D175,Poeng!$B$10:$BC$252,Poeng!AG$1,FALSE)</f>
        <v>0</v>
      </c>
      <c r="W175" s="123" t="str">
        <f>VLOOKUP(D175,Poeng!$B$10:$BK$252,Poeng!BK$1,FALSE)</f>
        <v>Excellent</v>
      </c>
      <c r="X175" s="81"/>
      <c r="Y175" s="80"/>
      <c r="Z175" s="738"/>
      <c r="AA175" s="133"/>
      <c r="AB175" s="640"/>
      <c r="AC175" s="107">
        <f t="shared" si="21"/>
        <v>1</v>
      </c>
      <c r="AD175" s="3" t="e">
        <f>VLOOKUP(K175,'Assessment Details'!$O$45:$P$48,2,FALSE)</f>
        <v>#N/A</v>
      </c>
      <c r="AE175" s="3" t="e">
        <f>VLOOKUP(R175,'Assessment Details'!$O$45:$P$48,2,FALSE)</f>
        <v>#N/A</v>
      </c>
      <c r="AF175" s="3" t="e">
        <f>VLOOKUP(Y175,'Assessment Details'!$O$45:$P$48,2,FALSE)</f>
        <v>#N/A</v>
      </c>
      <c r="AI175" s="70"/>
      <c r="AJ175" s="671"/>
      <c r="AK175" s="70"/>
      <c r="AL175" s="70"/>
      <c r="AM175" s="70"/>
      <c r="AN175" s="70"/>
      <c r="AO175" s="70"/>
      <c r="AP175" s="70"/>
      <c r="AS175" s="23"/>
      <c r="AT175" s="23"/>
      <c r="AU175" s="23"/>
      <c r="AV175" s="23"/>
      <c r="AW175" s="23"/>
      <c r="AX175" s="23"/>
      <c r="AZ175" s="640"/>
    </row>
    <row r="176" spans="1:52" x14ac:dyDescent="0.25">
      <c r="A176" s="1077">
        <v>167</v>
      </c>
      <c r="B176" s="1078" t="s">
        <v>71</v>
      </c>
      <c r="C176" s="1083" t="str">
        <f t="shared" si="19"/>
        <v>LE 04</v>
      </c>
      <c r="D176" s="824" t="s">
        <v>807</v>
      </c>
      <c r="E176" s="861" t="str">
        <f>VLOOKUP(D176,Poeng!$B$10:$R$252,Poeng!E$1,FALSE)</f>
        <v>Calculation of change in biodiversity</v>
      </c>
      <c r="F176" s="122">
        <f>VLOOKUP(D176,Poeng!$B$10:$AB$252,Poeng!AB$1,FALSE)</f>
        <v>3</v>
      </c>
      <c r="G176" s="43"/>
      <c r="H176" s="123">
        <f>VLOOKUP(D176,Poeng!$B$10:$AE$252,Poeng!AE$1,FALSE)</f>
        <v>0</v>
      </c>
      <c r="I176" s="124" t="str">
        <f>VLOOKUP(D176,Poeng!$B$10:$BE$252,Poeng!BE$1,FALSE)</f>
        <v>N/A</v>
      </c>
      <c r="J176" s="80"/>
      <c r="K176" s="281"/>
      <c r="L176" s="796"/>
      <c r="M176" s="816"/>
      <c r="N176" s="83"/>
      <c r="O176" s="123">
        <f>VLOOKUP(D176,Poeng!$B$10:$BC$252,Poeng!AF$1,FALSE)</f>
        <v>0</v>
      </c>
      <c r="P176" s="123" t="str">
        <f>VLOOKUP(D176,Poeng!$B$10:$BH$252,Poeng!BH$1,FALSE)</f>
        <v>N/A</v>
      </c>
      <c r="Q176" s="744"/>
      <c r="R176" s="745"/>
      <c r="S176" s="738"/>
      <c r="T176" s="319"/>
      <c r="U176" s="83"/>
      <c r="V176" s="123">
        <f>VLOOKUP(D176,Poeng!$B$10:$BC$252,Poeng!AG$1,FALSE)</f>
        <v>0</v>
      </c>
      <c r="W176" s="123" t="str">
        <f>VLOOKUP(D176,Poeng!$B$10:$BK$252,Poeng!BK$1,FALSE)</f>
        <v>N/A</v>
      </c>
      <c r="X176" s="81"/>
      <c r="Y176" s="80"/>
      <c r="Z176" s="738"/>
      <c r="AA176" s="133"/>
      <c r="AB176" s="640"/>
      <c r="AC176" s="107">
        <f t="shared" si="21"/>
        <v>1</v>
      </c>
      <c r="AD176" s="3" t="e">
        <f>VLOOKUP(K176,'Assessment Details'!$O$45:$P$48,2,FALSE)</f>
        <v>#N/A</v>
      </c>
      <c r="AE176" s="3" t="e">
        <f>VLOOKUP(R176,'Assessment Details'!$O$45:$P$48,2,FALSE)</f>
        <v>#N/A</v>
      </c>
      <c r="AF176" s="3" t="e">
        <f>VLOOKUP(Y176,'Assessment Details'!$O$45:$P$48,2,FALSE)</f>
        <v>#N/A</v>
      </c>
      <c r="AI176" s="70"/>
      <c r="AJ176" s="671"/>
      <c r="AK176" s="70"/>
      <c r="AL176" s="70"/>
      <c r="AM176" s="70"/>
      <c r="AN176" s="70"/>
      <c r="AO176" s="70"/>
      <c r="AP176" s="70"/>
      <c r="AS176" s="23"/>
      <c r="AT176" s="23"/>
      <c r="AU176" s="23"/>
      <c r="AV176" s="23"/>
      <c r="AW176" s="23"/>
      <c r="AX176" s="23"/>
      <c r="AZ176" s="640"/>
    </row>
    <row r="177" spans="1:52" x14ac:dyDescent="0.25">
      <c r="A177" s="1077">
        <v>168</v>
      </c>
      <c r="B177" s="1078" t="s">
        <v>71</v>
      </c>
      <c r="C177" s="924" t="s">
        <v>184</v>
      </c>
      <c r="D177" s="824" t="s">
        <v>184</v>
      </c>
      <c r="E177" s="860" t="str">
        <f>VLOOKUP(D177,Poeng!$B$10:$R$252,Poeng!E$1,FALSE)</f>
        <v>LE 05 Long term ecology management and maintenance</v>
      </c>
      <c r="F177" s="865">
        <f>VLOOKUP(D177,Poeng!$B$10:$AB$252,Poeng!AB$1,FALSE)</f>
        <v>2</v>
      </c>
      <c r="G177" s="1001"/>
      <c r="H177" s="866" t="str">
        <f>VLOOKUP(D177,Poeng!$B$10:$AI$252,Poeng!AI$1,FALSE)&amp;" c. "&amp;ROUND(VLOOKUP(D177,Poeng!$B$10:$AE$252,Poeng!AE$1,FALSE)*100,1)&amp;" %"</f>
        <v>0 c. 0 %</v>
      </c>
      <c r="I177" s="924" t="str">
        <f>VLOOKUP(D177,Poeng!$B$10:$BE$252,Poeng!BE$1,FALSE)</f>
        <v>N/A</v>
      </c>
      <c r="J177" s="80"/>
      <c r="K177" s="281"/>
      <c r="L177" s="796"/>
      <c r="M177" s="816"/>
      <c r="N177" s="1001"/>
      <c r="O177" s="877" t="str">
        <f>VLOOKUP(D177,Poeng!$B$10:$BC$252,Poeng!AJ$1,FALSE)&amp;" c. "&amp;ROUND(VLOOKUP(D177,Poeng!$B$10:$BC$252,Poeng!AF$1,FALSE)*100,1)&amp;" %"</f>
        <v>0 c. 0 %</v>
      </c>
      <c r="P177" s="123" t="str">
        <f>VLOOKUP(D177,Poeng!$B$10:$BH$252,Poeng!BH$1,FALSE)</f>
        <v>N/A</v>
      </c>
      <c r="Q177" s="744"/>
      <c r="R177" s="745"/>
      <c r="S177" s="738"/>
      <c r="T177" s="319"/>
      <c r="U177" s="1001"/>
      <c r="V177" s="877" t="str">
        <f>VLOOKUP(D177,Poeng!$B$10:$BC$252,Poeng!AK$1,FALSE)&amp;" c. "&amp;ROUND(VLOOKUP(D177,Poeng!$B$10:$BC$252,Poeng!AG$1,FALSE)*100,1)&amp;" %"</f>
        <v>0 c. 0 %</v>
      </c>
      <c r="W177" s="123" t="str">
        <f>VLOOKUP(D177,Poeng!$B$10:$BK$252,Poeng!BK$1,FALSE)</f>
        <v>N/A</v>
      </c>
      <c r="X177" s="81"/>
      <c r="Y177" s="80"/>
      <c r="Z177" s="738"/>
      <c r="AA177" s="133"/>
      <c r="AB177" s="640" t="s">
        <v>14</v>
      </c>
      <c r="AC177" s="107">
        <f t="shared" si="21"/>
        <v>1</v>
      </c>
      <c r="AD177" s="3" t="e">
        <f>VLOOKUP(K177,'Assessment Details'!$O$45:$P$48,2,FALSE)</f>
        <v>#N/A</v>
      </c>
      <c r="AE177" s="3" t="e">
        <f>VLOOKUP(R177,'Assessment Details'!$O$45:$P$48,2,FALSE)</f>
        <v>#N/A</v>
      </c>
      <c r="AF177" s="3" t="e">
        <f>VLOOKUP(Y177,'Assessment Details'!$O$45:$P$48,2,FALSE)</f>
        <v>#N/A</v>
      </c>
      <c r="AI177" s="70"/>
      <c r="AJ177" s="671" t="s">
        <v>164</v>
      </c>
      <c r="AK177" s="70"/>
      <c r="AL177" s="70"/>
      <c r="AM177" s="70"/>
      <c r="AN177" s="70"/>
      <c r="AO177" s="70"/>
      <c r="AP177" s="70"/>
      <c r="AS177" s="23" t="str">
        <f t="shared" si="24"/>
        <v>N/A</v>
      </c>
      <c r="AT177" s="23" t="str">
        <f t="shared" si="25"/>
        <v>N/A</v>
      </c>
      <c r="AU177" s="23" t="str">
        <f t="shared" si="26"/>
        <v>N/A</v>
      </c>
      <c r="AV177" s="23"/>
      <c r="AW177" s="23"/>
      <c r="AX177" s="23"/>
      <c r="AZ177" s="640"/>
    </row>
    <row r="178" spans="1:52" x14ac:dyDescent="0.25">
      <c r="A178" s="1077">
        <v>169</v>
      </c>
      <c r="B178" s="1078" t="s">
        <v>71</v>
      </c>
      <c r="C178" s="1088" t="str">
        <f t="shared" si="19"/>
        <v>LE 05</v>
      </c>
      <c r="D178" s="824" t="s">
        <v>808</v>
      </c>
      <c r="E178" s="1072" t="str">
        <f>VLOOKUP(D178,Poeng!$B$10:$R$252,Poeng!E$1,FALSE)</f>
        <v>Pre-requisite: statutory obligations, planning and site implementation</v>
      </c>
      <c r="F178" s="122" t="str">
        <f>VLOOKUP(D178,Poeng!$B$10:$AB$252,Poeng!AB$1,FALSE)</f>
        <v>Yes/No</v>
      </c>
      <c r="G178" s="43"/>
      <c r="H178" s="123" t="str">
        <f>VLOOKUP(D178,Poeng!$B$10:$AE$252,Poeng!AE$1,FALSE)</f>
        <v>-</v>
      </c>
      <c r="I178" s="124" t="str">
        <f>VLOOKUP(D178,Poeng!$B$10:$BE$252,Poeng!BE$1,FALSE)</f>
        <v>N/A</v>
      </c>
      <c r="J178" s="80"/>
      <c r="K178" s="281"/>
      <c r="L178" s="796"/>
      <c r="M178" s="816"/>
      <c r="N178" s="83"/>
      <c r="O178" s="123" t="str">
        <f>VLOOKUP(D178,Poeng!$B$10:$BC$252,Poeng!AF$1,FALSE)</f>
        <v>-</v>
      </c>
      <c r="P178" s="123" t="str">
        <f>VLOOKUP(D178,Poeng!$B$10:$BH$252,Poeng!BH$1,FALSE)</f>
        <v>N/A</v>
      </c>
      <c r="Q178" s="744"/>
      <c r="R178" s="745"/>
      <c r="S178" s="738"/>
      <c r="T178" s="319"/>
      <c r="U178" s="83"/>
      <c r="V178" s="123" t="str">
        <f>VLOOKUP(D178,Poeng!$B$10:$BC$252,Poeng!AG$1,FALSE)</f>
        <v>-</v>
      </c>
      <c r="W178" s="123" t="str">
        <f>VLOOKUP(D178,Poeng!$B$10:$BK$252,Poeng!BK$1,FALSE)</f>
        <v>N/A</v>
      </c>
      <c r="X178" s="81"/>
      <c r="Y178" s="80"/>
      <c r="Z178" s="738"/>
      <c r="AA178" s="133"/>
      <c r="AB178" s="640"/>
      <c r="AC178" s="107">
        <f t="shared" si="21"/>
        <v>1</v>
      </c>
      <c r="AD178" s="3" t="e">
        <f>VLOOKUP(K178,'Assessment Details'!$O$45:$P$48,2,FALSE)</f>
        <v>#N/A</v>
      </c>
      <c r="AE178" s="3" t="e">
        <f>VLOOKUP(R178,'Assessment Details'!$O$45:$P$48,2,FALSE)</f>
        <v>#N/A</v>
      </c>
      <c r="AF178" s="3" t="e">
        <f>VLOOKUP(Y178,'Assessment Details'!$O$45:$P$48,2,FALSE)</f>
        <v>#N/A</v>
      </c>
      <c r="AI178" s="70"/>
      <c r="AJ178" s="671"/>
      <c r="AK178" s="70"/>
      <c r="AL178" s="70"/>
      <c r="AM178" s="70"/>
      <c r="AN178" s="70"/>
      <c r="AO178" s="70"/>
      <c r="AP178" s="70"/>
      <c r="AS178" s="23"/>
      <c r="AT178" s="23"/>
      <c r="AU178" s="23"/>
      <c r="AV178" s="23"/>
      <c r="AW178" s="23"/>
      <c r="AX178" s="23"/>
      <c r="AZ178" s="640"/>
    </row>
    <row r="179" spans="1:52" x14ac:dyDescent="0.25">
      <c r="A179" s="1077">
        <v>170</v>
      </c>
      <c r="B179" s="1078" t="s">
        <v>71</v>
      </c>
      <c r="C179" s="1083" t="str">
        <f t="shared" si="19"/>
        <v>LE 05</v>
      </c>
      <c r="D179" s="824" t="s">
        <v>809</v>
      </c>
      <c r="E179" s="861" t="str">
        <f>VLOOKUP(D179,Poeng!$B$10:$R$252,Poeng!E$1,FALSE)</f>
        <v>Management and maintenance throughout the project</v>
      </c>
      <c r="F179" s="122">
        <f>VLOOKUP(D179,Poeng!$B$10:$AB$252,Poeng!AB$1,FALSE)</f>
        <v>1</v>
      </c>
      <c r="G179" s="43"/>
      <c r="H179" s="123">
        <f>VLOOKUP(D179,Poeng!$B$10:$AE$252,Poeng!AE$1,FALSE)</f>
        <v>0</v>
      </c>
      <c r="I179" s="124" t="str">
        <f>VLOOKUP(D179,Poeng!$B$10:$BE$252,Poeng!BE$1,FALSE)</f>
        <v>N/A</v>
      </c>
      <c r="J179" s="80"/>
      <c r="K179" s="281"/>
      <c r="L179" s="796"/>
      <c r="M179" s="816"/>
      <c r="N179" s="83"/>
      <c r="O179" s="123">
        <f>VLOOKUP(D179,Poeng!$B$10:$BC$252,Poeng!AF$1,FALSE)</f>
        <v>0</v>
      </c>
      <c r="P179" s="123" t="str">
        <f>VLOOKUP(D179,Poeng!$B$10:$BH$252,Poeng!BH$1,FALSE)</f>
        <v>N/A</v>
      </c>
      <c r="Q179" s="744"/>
      <c r="R179" s="745"/>
      <c r="S179" s="738"/>
      <c r="T179" s="319"/>
      <c r="U179" s="83"/>
      <c r="V179" s="123">
        <f>VLOOKUP(D179,Poeng!$B$10:$BC$252,Poeng!AG$1,FALSE)</f>
        <v>0</v>
      </c>
      <c r="W179" s="123" t="str">
        <f>VLOOKUP(D179,Poeng!$B$10:$BK$252,Poeng!BK$1,FALSE)</f>
        <v>N/A</v>
      </c>
      <c r="X179" s="81"/>
      <c r="Y179" s="80"/>
      <c r="Z179" s="738"/>
      <c r="AA179" s="133"/>
      <c r="AB179" s="640"/>
      <c r="AC179" s="107">
        <f t="shared" si="21"/>
        <v>1</v>
      </c>
      <c r="AD179" s="3" t="e">
        <f>VLOOKUP(K179,'Assessment Details'!$O$45:$P$48,2,FALSE)</f>
        <v>#N/A</v>
      </c>
      <c r="AE179" s="3" t="e">
        <f>VLOOKUP(R179,'Assessment Details'!$O$45:$P$48,2,FALSE)</f>
        <v>#N/A</v>
      </c>
      <c r="AF179" s="3" t="e">
        <f>VLOOKUP(Y179,'Assessment Details'!$O$45:$P$48,2,FALSE)</f>
        <v>#N/A</v>
      </c>
      <c r="AI179" s="70"/>
      <c r="AJ179" s="671"/>
      <c r="AK179" s="70"/>
      <c r="AL179" s="70"/>
      <c r="AM179" s="70"/>
      <c r="AN179" s="70"/>
      <c r="AO179" s="70"/>
      <c r="AP179" s="70"/>
      <c r="AS179" s="23"/>
      <c r="AT179" s="23"/>
      <c r="AU179" s="23"/>
      <c r="AV179" s="23"/>
      <c r="AW179" s="23"/>
      <c r="AX179" s="23"/>
      <c r="AZ179" s="640"/>
    </row>
    <row r="180" spans="1:52" x14ac:dyDescent="0.25">
      <c r="A180" s="1077">
        <v>171</v>
      </c>
      <c r="B180" s="1078" t="s">
        <v>71</v>
      </c>
      <c r="C180" s="1083" t="str">
        <f t="shared" si="19"/>
        <v>LE 05</v>
      </c>
      <c r="D180" s="824" t="s">
        <v>810</v>
      </c>
      <c r="E180" s="861" t="str">
        <f>VLOOKUP(D180,Poeng!$B$10:$R$252,Poeng!E$1,FALSE)</f>
        <v>Landscape and ecology management plan</v>
      </c>
      <c r="F180" s="122">
        <f>VLOOKUP(D180,Poeng!$B$10:$AB$252,Poeng!AB$1,FALSE)</f>
        <v>1</v>
      </c>
      <c r="G180" s="43"/>
      <c r="H180" s="123">
        <f>VLOOKUP(D180,Poeng!$B$10:$AE$252,Poeng!AE$1,FALSE)</f>
        <v>0</v>
      </c>
      <c r="I180" s="124" t="str">
        <f>VLOOKUP(D180,Poeng!$B$10:$BE$252,Poeng!BE$1,FALSE)</f>
        <v>N/A</v>
      </c>
      <c r="J180" s="80"/>
      <c r="K180" s="281"/>
      <c r="L180" s="796"/>
      <c r="M180" s="816"/>
      <c r="N180" s="83"/>
      <c r="O180" s="123">
        <f>VLOOKUP(D180,Poeng!$B$10:$BC$252,Poeng!AF$1,FALSE)</f>
        <v>0</v>
      </c>
      <c r="P180" s="123" t="str">
        <f>VLOOKUP(D180,Poeng!$B$10:$BH$252,Poeng!BH$1,FALSE)</f>
        <v>N/A</v>
      </c>
      <c r="Q180" s="744"/>
      <c r="R180" s="745"/>
      <c r="S180" s="738"/>
      <c r="T180" s="319"/>
      <c r="U180" s="83"/>
      <c r="V180" s="123">
        <f>VLOOKUP(D180,Poeng!$B$10:$BC$252,Poeng!AG$1,FALSE)</f>
        <v>0</v>
      </c>
      <c r="W180" s="123" t="str">
        <f>VLOOKUP(D180,Poeng!$B$10:$BK$252,Poeng!BK$1,FALSE)</f>
        <v>N/A</v>
      </c>
      <c r="X180" s="81"/>
      <c r="Y180" s="80"/>
      <c r="Z180" s="738"/>
      <c r="AA180" s="133"/>
      <c r="AB180" s="640"/>
      <c r="AC180" s="107">
        <f t="shared" si="21"/>
        <v>1</v>
      </c>
      <c r="AD180" s="3" t="e">
        <f>VLOOKUP(K180,'Assessment Details'!$O$45:$P$48,2,FALSE)</f>
        <v>#N/A</v>
      </c>
      <c r="AE180" s="3" t="e">
        <f>VLOOKUP(R180,'Assessment Details'!$O$45:$P$48,2,FALSE)</f>
        <v>#N/A</v>
      </c>
      <c r="AF180" s="3" t="e">
        <f>VLOOKUP(Y180,'Assessment Details'!$O$45:$P$48,2,FALSE)</f>
        <v>#N/A</v>
      </c>
      <c r="AI180" s="70"/>
      <c r="AJ180" s="671"/>
      <c r="AK180" s="70"/>
      <c r="AL180" s="70"/>
      <c r="AM180" s="70"/>
      <c r="AN180" s="70"/>
      <c r="AO180" s="70"/>
      <c r="AP180" s="70"/>
      <c r="AS180" s="23"/>
      <c r="AT180" s="23"/>
      <c r="AU180" s="23"/>
      <c r="AV180" s="23"/>
      <c r="AW180" s="23"/>
      <c r="AX180" s="23"/>
      <c r="AZ180" s="640"/>
    </row>
    <row r="181" spans="1:52" x14ac:dyDescent="0.25">
      <c r="A181" s="1077">
        <v>172</v>
      </c>
      <c r="B181" s="1078" t="s">
        <v>71</v>
      </c>
      <c r="C181" s="924" t="s">
        <v>185</v>
      </c>
      <c r="D181" s="824" t="s">
        <v>185</v>
      </c>
      <c r="E181" s="860" t="str">
        <f>VLOOKUP(D181,Poeng!$B$10:$R$252,Poeng!E$1,FALSE)</f>
        <v>LE 06 Climate adaption</v>
      </c>
      <c r="F181" s="865">
        <f>VLOOKUP(D181,Poeng!$B$10:$AB$252,Poeng!AB$1,FALSE)</f>
        <v>1</v>
      </c>
      <c r="G181" s="1001"/>
      <c r="H181" s="866" t="str">
        <f>VLOOKUP(D181,Poeng!$B$10:$AI$252,Poeng!AI$1,FALSE)&amp;" c. "&amp;ROUND(VLOOKUP(D181,Poeng!$B$10:$AE$252,Poeng!AE$1,FALSE)*100,1)&amp;" %"</f>
        <v>0 c. 0 %</v>
      </c>
      <c r="I181" s="924" t="str">
        <f>VLOOKUP(D181,Poeng!$B$10:$BE$252,Poeng!BE$1,FALSE)</f>
        <v>N/A</v>
      </c>
      <c r="J181" s="80"/>
      <c r="K181" s="281"/>
      <c r="L181" s="796"/>
      <c r="M181" s="816"/>
      <c r="N181" s="1001"/>
      <c r="O181" s="877" t="str">
        <f>VLOOKUP(D181,Poeng!$B$10:$BC$252,Poeng!AJ$1,FALSE)&amp;" c. "&amp;ROUND(VLOOKUP(D181,Poeng!$B$10:$BC$252,Poeng!AF$1,FALSE)*100,1)&amp;" %"</f>
        <v>0 c. 0 %</v>
      </c>
      <c r="P181" s="123" t="str">
        <f>VLOOKUP(D181,Poeng!$B$10:$BH$252,Poeng!BH$1,FALSE)</f>
        <v>N/A</v>
      </c>
      <c r="Q181" s="744"/>
      <c r="R181" s="745"/>
      <c r="S181" s="738"/>
      <c r="T181" s="319"/>
      <c r="U181" s="1001"/>
      <c r="V181" s="877" t="str">
        <f>VLOOKUP(D181,Poeng!$B$10:$BC$252,Poeng!AK$1,FALSE)&amp;" c. "&amp;ROUND(VLOOKUP(D181,Poeng!$B$10:$BC$252,Poeng!AG$1,FALSE)*100,1)&amp;" %"</f>
        <v>0 c. 0 %</v>
      </c>
      <c r="W181" s="123" t="str">
        <f>VLOOKUP(D181,Poeng!$B$10:$BK$252,Poeng!BK$1,FALSE)</f>
        <v>N/A</v>
      </c>
      <c r="X181" s="81"/>
      <c r="Y181" s="80"/>
      <c r="Z181" s="738"/>
      <c r="AA181" s="133"/>
      <c r="AB181" s="640" t="s">
        <v>14</v>
      </c>
      <c r="AC181" s="107">
        <f t="shared" si="21"/>
        <v>1</v>
      </c>
      <c r="AD181" s="3" t="e">
        <f>VLOOKUP(K181,'Assessment Details'!$O$45:$P$48,2,FALSE)</f>
        <v>#N/A</v>
      </c>
      <c r="AE181" s="3" t="e">
        <f>VLOOKUP(R181,'Assessment Details'!$O$45:$P$48,2,FALSE)</f>
        <v>#N/A</v>
      </c>
      <c r="AF181" s="3" t="e">
        <f>VLOOKUP(Y181,'Assessment Details'!$O$45:$P$48,2,FALSE)</f>
        <v>#N/A</v>
      </c>
      <c r="AI181" s="70"/>
      <c r="AJ181" s="671" t="s">
        <v>168</v>
      </c>
      <c r="AK181" s="70"/>
      <c r="AL181" s="70"/>
      <c r="AM181" s="70"/>
      <c r="AN181" s="70"/>
      <c r="AO181" s="70"/>
      <c r="AP181" s="70"/>
      <c r="AS181" s="23" t="str">
        <f t="shared" si="24"/>
        <v>N/A</v>
      </c>
      <c r="AT181" s="23" t="str">
        <f t="shared" si="25"/>
        <v>N/A</v>
      </c>
      <c r="AU181" s="23" t="str">
        <f t="shared" si="26"/>
        <v>N/A</v>
      </c>
      <c r="AV181" s="23"/>
      <c r="AW181" s="23"/>
      <c r="AX181" s="23"/>
      <c r="AZ181" s="640"/>
    </row>
    <row r="182" spans="1:52" x14ac:dyDescent="0.25">
      <c r="A182" s="1077">
        <v>173</v>
      </c>
      <c r="B182" s="1078" t="s">
        <v>71</v>
      </c>
      <c r="C182" s="1083" t="str">
        <f t="shared" si="19"/>
        <v>LE 06</v>
      </c>
      <c r="D182" s="824" t="s">
        <v>811</v>
      </c>
      <c r="E182" s="861" t="str">
        <f>VLOOKUP(D182,Poeng!$B$10:$R$252,Poeng!E$1,FALSE)</f>
        <v>Risk assessment (EU taxonomy requirement: criterion 1-6)</v>
      </c>
      <c r="F182" s="122">
        <f>VLOOKUP(D182,Poeng!$B$10:$AB$252,Poeng!AB$1,FALSE)</f>
        <v>1</v>
      </c>
      <c r="G182" s="43"/>
      <c r="H182" s="123">
        <f>VLOOKUP(D182,Poeng!$B$10:$AE$252,Poeng!AE$1,FALSE)</f>
        <v>0</v>
      </c>
      <c r="I182" s="124" t="str">
        <f>VLOOKUP(D182,Poeng!$B$10:$BE$252,Poeng!BE$1,FALSE)</f>
        <v>Very Good</v>
      </c>
      <c r="J182" s="80"/>
      <c r="K182" s="281"/>
      <c r="L182" s="796"/>
      <c r="M182" s="816"/>
      <c r="N182" s="83"/>
      <c r="O182" s="123">
        <f>VLOOKUP(D182,Poeng!$B$10:$BC$252,Poeng!AF$1,FALSE)</f>
        <v>0</v>
      </c>
      <c r="P182" s="123" t="str">
        <f>VLOOKUP(D182,Poeng!$B$10:$BH$252,Poeng!BH$1,FALSE)</f>
        <v>Very Good</v>
      </c>
      <c r="Q182" s="744"/>
      <c r="R182" s="745"/>
      <c r="S182" s="738"/>
      <c r="T182" s="319"/>
      <c r="U182" s="83"/>
      <c r="V182" s="123">
        <f>VLOOKUP(D182,Poeng!$B$10:$BC$252,Poeng!AG$1,FALSE)</f>
        <v>0</v>
      </c>
      <c r="W182" s="123" t="str">
        <f>VLOOKUP(D182,Poeng!$B$10:$BK$252,Poeng!BK$1,FALSE)</f>
        <v>Very Good</v>
      </c>
      <c r="X182" s="81"/>
      <c r="Y182" s="80"/>
      <c r="Z182" s="738"/>
      <c r="AA182" s="133"/>
      <c r="AB182" s="714"/>
      <c r="AC182" s="107">
        <f t="shared" si="21"/>
        <v>1</v>
      </c>
      <c r="AD182" s="3" t="e">
        <f>VLOOKUP(K182,'Assessment Details'!$O$45:$P$48,2,FALSE)</f>
        <v>#N/A</v>
      </c>
      <c r="AE182" s="3" t="e">
        <f>VLOOKUP(R182,'Assessment Details'!$O$45:$P$48,2,FALSE)</f>
        <v>#N/A</v>
      </c>
      <c r="AF182" s="3" t="e">
        <f>VLOOKUP(Y182,'Assessment Details'!$O$45:$P$48,2,FALSE)</f>
        <v>#N/A</v>
      </c>
      <c r="AI182" s="70"/>
      <c r="AJ182" s="671"/>
      <c r="AK182" s="70"/>
      <c r="AL182" s="70"/>
      <c r="AM182" s="70"/>
      <c r="AN182" s="70"/>
      <c r="AO182" s="70"/>
      <c r="AP182" s="70"/>
      <c r="AS182" s="23"/>
      <c r="AT182" s="23"/>
      <c r="AU182" s="23"/>
      <c r="AV182" s="23"/>
      <c r="AW182" s="23"/>
      <c r="AX182" s="23"/>
      <c r="AZ182" s="714"/>
    </row>
    <row r="183" spans="1:52" x14ac:dyDescent="0.25">
      <c r="A183" s="1077">
        <v>174</v>
      </c>
      <c r="B183" s="1078" t="s">
        <v>71</v>
      </c>
      <c r="C183" s="924" t="s">
        <v>482</v>
      </c>
      <c r="D183" s="824" t="s">
        <v>482</v>
      </c>
      <c r="E183" s="860" t="str">
        <f>VLOOKUP(D183,Poeng!$B$10:$R$252,Poeng!E$1,FALSE)</f>
        <v>LE 07 Flooding and storm surge</v>
      </c>
      <c r="F183" s="865">
        <f>VLOOKUP(D183,Poeng!$B$10:$AB$252,Poeng!AB$1,FALSE)</f>
        <v>2</v>
      </c>
      <c r="G183" s="1001"/>
      <c r="H183" s="866" t="str">
        <f>VLOOKUP(D183,Poeng!$B$10:$AI$252,Poeng!AI$1,FALSE)&amp;" c. "&amp;ROUND(VLOOKUP(D183,Poeng!$B$10:$AE$252,Poeng!AE$1,FALSE)*100,1)&amp;" %"</f>
        <v>0 c. 0 %</v>
      </c>
      <c r="I183" s="924" t="str">
        <f>VLOOKUP(D183,Poeng!$B$10:$BE$252,Poeng!BE$1,FALSE)</f>
        <v>N/A</v>
      </c>
      <c r="J183" s="80"/>
      <c r="K183" s="281"/>
      <c r="L183" s="796"/>
      <c r="M183" s="816"/>
      <c r="N183" s="1001"/>
      <c r="O183" s="877" t="str">
        <f>VLOOKUP(D183,Poeng!$B$10:$BC$252,Poeng!AJ$1,FALSE)&amp;" c. "&amp;ROUND(VLOOKUP(D183,Poeng!$B$10:$BC$252,Poeng!AF$1,FALSE)*100,1)&amp;" %"</f>
        <v>0 c. 0 %</v>
      </c>
      <c r="P183" s="123" t="str">
        <f>VLOOKUP(D183,Poeng!$B$10:$BH$252,Poeng!BH$1,FALSE)</f>
        <v>N/A</v>
      </c>
      <c r="Q183" s="744"/>
      <c r="R183" s="745"/>
      <c r="S183" s="738"/>
      <c r="T183" s="319"/>
      <c r="U183" s="1001"/>
      <c r="V183" s="877" t="str">
        <f>VLOOKUP(D183,Poeng!$B$10:$BC$252,Poeng!AK$1,FALSE)&amp;" c. "&amp;ROUND(VLOOKUP(D183,Poeng!$B$10:$BC$252,Poeng!AG$1,FALSE)*100,1)&amp;" %"</f>
        <v>0 c. 0 %</v>
      </c>
      <c r="W183" s="123" t="str">
        <f>VLOOKUP(D183,Poeng!$B$10:$BK$252,Poeng!BK$1,FALSE)</f>
        <v>N/A</v>
      </c>
      <c r="X183" s="81"/>
      <c r="Y183" s="80"/>
      <c r="Z183" s="738"/>
      <c r="AA183" s="133"/>
      <c r="AB183" s="714"/>
      <c r="AC183" s="107">
        <f t="shared" si="21"/>
        <v>1</v>
      </c>
      <c r="AD183" s="3" t="e">
        <f>VLOOKUP(K183,'Assessment Details'!$O$45:$P$48,2,FALSE)</f>
        <v>#N/A</v>
      </c>
      <c r="AE183" s="3" t="e">
        <f>VLOOKUP(R183,'Assessment Details'!$O$45:$P$48,2,FALSE)</f>
        <v>#N/A</v>
      </c>
      <c r="AF183" s="3" t="e">
        <f>VLOOKUP(Y183,'Assessment Details'!$O$45:$P$48,2,FALSE)</f>
        <v>#N/A</v>
      </c>
      <c r="AI183" s="70"/>
      <c r="AJ183" s="671"/>
      <c r="AK183" s="70"/>
      <c r="AL183" s="70"/>
      <c r="AM183" s="70"/>
      <c r="AN183" s="70"/>
      <c r="AO183" s="70"/>
      <c r="AP183" s="70"/>
      <c r="AS183" s="23"/>
      <c r="AT183" s="23"/>
      <c r="AU183" s="23"/>
      <c r="AV183" s="23"/>
      <c r="AW183" s="23"/>
      <c r="AX183" s="23"/>
      <c r="AZ183" s="714"/>
    </row>
    <row r="184" spans="1:52" x14ac:dyDescent="0.25">
      <c r="A184" s="1077">
        <v>175</v>
      </c>
      <c r="B184" s="1078" t="s">
        <v>71</v>
      </c>
      <c r="C184" s="1083" t="str">
        <f t="shared" si="19"/>
        <v>LE 07</v>
      </c>
      <c r="D184" s="824" t="s">
        <v>812</v>
      </c>
      <c r="E184" s="861" t="str">
        <f>VLOOKUP(D184,Poeng!$B$10:$R$252,Poeng!E$1,FALSE)</f>
        <v>Pre-requisite: flood risk assessment</v>
      </c>
      <c r="F184" s="122" t="str">
        <f>VLOOKUP(D184,Poeng!$B$10:$AB$252,Poeng!AB$1,FALSE)</f>
        <v>Yes/No</v>
      </c>
      <c r="G184" s="43"/>
      <c r="H184" s="123" t="str">
        <f>VLOOKUP(D184,Poeng!$B$10:$AE$252,Poeng!AE$1,FALSE)</f>
        <v>-</v>
      </c>
      <c r="I184" s="124" t="str">
        <f>VLOOKUP(D184,Poeng!$B$10:$BE$252,Poeng!BE$1,FALSE)</f>
        <v>N/A</v>
      </c>
      <c r="J184" s="80"/>
      <c r="K184" s="281"/>
      <c r="L184" s="796"/>
      <c r="M184" s="816"/>
      <c r="N184" s="83"/>
      <c r="O184" s="123" t="str">
        <f>VLOOKUP(D184,Poeng!$B$10:$BC$252,Poeng!AF$1,FALSE)</f>
        <v>-</v>
      </c>
      <c r="P184" s="123" t="str">
        <f>VLOOKUP(D184,Poeng!$B$10:$BH$252,Poeng!BH$1,FALSE)</f>
        <v>N/A</v>
      </c>
      <c r="Q184" s="744"/>
      <c r="R184" s="745"/>
      <c r="S184" s="738"/>
      <c r="T184" s="319"/>
      <c r="U184" s="83"/>
      <c r="V184" s="123" t="str">
        <f>VLOOKUP(D184,Poeng!$B$10:$BC$252,Poeng!AG$1,FALSE)</f>
        <v>-</v>
      </c>
      <c r="W184" s="123" t="str">
        <f>VLOOKUP(D184,Poeng!$B$10:$BK$252,Poeng!BK$1,FALSE)</f>
        <v>N/A</v>
      </c>
      <c r="X184" s="81"/>
      <c r="Y184" s="80"/>
      <c r="Z184" s="738"/>
      <c r="AA184" s="133"/>
      <c r="AB184" s="714"/>
      <c r="AC184" s="107">
        <f t="shared" si="21"/>
        <v>1</v>
      </c>
      <c r="AD184" s="3" t="e">
        <f>VLOOKUP(K184,'Assessment Details'!$O$45:$P$48,2,FALSE)</f>
        <v>#N/A</v>
      </c>
      <c r="AE184" s="3" t="e">
        <f>VLOOKUP(R184,'Assessment Details'!$O$45:$P$48,2,FALSE)</f>
        <v>#N/A</v>
      </c>
      <c r="AF184" s="3" t="e">
        <f>VLOOKUP(Y184,'Assessment Details'!$O$45:$P$48,2,FALSE)</f>
        <v>#N/A</v>
      </c>
      <c r="AI184" s="70"/>
      <c r="AJ184" s="671"/>
      <c r="AK184" s="70"/>
      <c r="AL184" s="70"/>
      <c r="AM184" s="70"/>
      <c r="AN184" s="70"/>
      <c r="AO184" s="70"/>
      <c r="AP184" s="70"/>
      <c r="AS184" s="23"/>
      <c r="AT184" s="23"/>
      <c r="AU184" s="23"/>
      <c r="AV184" s="23"/>
      <c r="AW184" s="23"/>
      <c r="AX184" s="23"/>
      <c r="AZ184" s="714"/>
    </row>
    <row r="185" spans="1:52" x14ac:dyDescent="0.25">
      <c r="A185" s="1077">
        <v>176</v>
      </c>
      <c r="B185" s="1078" t="s">
        <v>71</v>
      </c>
      <c r="C185" s="1083" t="str">
        <f t="shared" si="19"/>
        <v>LE 07</v>
      </c>
      <c r="D185" s="824" t="s">
        <v>813</v>
      </c>
      <c r="E185" s="861" t="str">
        <f>VLOOKUP(D185,Poeng!$B$10:$R$252,Poeng!E$1,FALSE)</f>
        <v>Resilience against flood and storm surge</v>
      </c>
      <c r="F185" s="122">
        <f>VLOOKUP(D185,Poeng!$B$10:$AB$252,Poeng!AB$1,FALSE)</f>
        <v>2</v>
      </c>
      <c r="G185" s="43"/>
      <c r="H185" s="123">
        <f>VLOOKUP(D185,Poeng!$B$10:$AE$252,Poeng!AE$1,FALSE)</f>
        <v>0</v>
      </c>
      <c r="I185" s="124" t="str">
        <f>VLOOKUP(D185,Poeng!$B$10:$BE$252,Poeng!BE$1,FALSE)</f>
        <v>N/A</v>
      </c>
      <c r="J185" s="80"/>
      <c r="K185" s="281"/>
      <c r="L185" s="796"/>
      <c r="M185" s="816"/>
      <c r="N185" s="83"/>
      <c r="O185" s="123">
        <f>VLOOKUP(D185,Poeng!$B$10:$BC$252,Poeng!AF$1,FALSE)</f>
        <v>0</v>
      </c>
      <c r="P185" s="123" t="str">
        <f>VLOOKUP(D185,Poeng!$B$10:$BH$252,Poeng!BH$1,FALSE)</f>
        <v>N/A</v>
      </c>
      <c r="Q185" s="744"/>
      <c r="R185" s="745"/>
      <c r="S185" s="738"/>
      <c r="T185" s="319"/>
      <c r="U185" s="83"/>
      <c r="V185" s="123">
        <f>VLOOKUP(D185,Poeng!$B$10:$BC$252,Poeng!AG$1,FALSE)</f>
        <v>0</v>
      </c>
      <c r="W185" s="123" t="str">
        <f>VLOOKUP(D185,Poeng!$B$10:$BK$252,Poeng!BK$1,FALSE)</f>
        <v>N/A</v>
      </c>
      <c r="X185" s="81"/>
      <c r="Y185" s="80"/>
      <c r="Z185" s="738"/>
      <c r="AA185" s="133"/>
      <c r="AB185" s="714"/>
      <c r="AC185" s="107">
        <f t="shared" si="21"/>
        <v>1</v>
      </c>
      <c r="AD185" s="3" t="e">
        <f>VLOOKUP(K185,'Assessment Details'!$O$45:$P$48,2,FALSE)</f>
        <v>#N/A</v>
      </c>
      <c r="AE185" s="3" t="e">
        <f>VLOOKUP(R185,'Assessment Details'!$O$45:$P$48,2,FALSE)</f>
        <v>#N/A</v>
      </c>
      <c r="AF185" s="3" t="e">
        <f>VLOOKUP(Y185,'Assessment Details'!$O$45:$P$48,2,FALSE)</f>
        <v>#N/A</v>
      </c>
      <c r="AI185" s="70"/>
      <c r="AJ185" s="671"/>
      <c r="AK185" s="70"/>
      <c r="AL185" s="70"/>
      <c r="AM185" s="70"/>
      <c r="AN185" s="70"/>
      <c r="AO185" s="70"/>
      <c r="AP185" s="70"/>
      <c r="AS185" s="23"/>
      <c r="AT185" s="23"/>
      <c r="AU185" s="23"/>
      <c r="AV185" s="23"/>
      <c r="AW185" s="23"/>
      <c r="AX185" s="23"/>
      <c r="AZ185" s="714"/>
    </row>
    <row r="186" spans="1:52" x14ac:dyDescent="0.25">
      <c r="A186" s="1077">
        <v>177</v>
      </c>
      <c r="B186" s="1078" t="s">
        <v>71</v>
      </c>
      <c r="C186" s="924" t="s">
        <v>483</v>
      </c>
      <c r="D186" s="824" t="s">
        <v>483</v>
      </c>
      <c r="E186" s="860" t="str">
        <f>VLOOKUP(D186,Poeng!$B$10:$R$252,Poeng!E$1,FALSE)</f>
        <v>LE 08 Local surface water handling</v>
      </c>
      <c r="F186" s="865">
        <f>VLOOKUP(D186,Poeng!$B$10:$AB$252,Poeng!AB$1,FALSE)</f>
        <v>3</v>
      </c>
      <c r="G186" s="1001"/>
      <c r="H186" s="866" t="str">
        <f>VLOOKUP(D186,Poeng!$B$10:$AI$252,Poeng!AI$1,FALSE)&amp;" c. "&amp;ROUND(VLOOKUP(D186,Poeng!$B$10:$AE$252,Poeng!AE$1,FALSE)*100,1)&amp;" %"</f>
        <v>0 c. 0 %</v>
      </c>
      <c r="I186" s="924" t="str">
        <f>VLOOKUP(D186,Poeng!$B$10:$BE$252,Poeng!BE$1,FALSE)</f>
        <v>N/A</v>
      </c>
      <c r="J186" s="80"/>
      <c r="K186" s="281"/>
      <c r="L186" s="796"/>
      <c r="M186" s="816"/>
      <c r="N186" s="1001"/>
      <c r="O186" s="877" t="str">
        <f>VLOOKUP(D186,Poeng!$B$10:$BC$252,Poeng!AJ$1,FALSE)&amp;" c. "&amp;ROUND(VLOOKUP(D186,Poeng!$B$10:$BC$252,Poeng!AF$1,FALSE)*100,1)&amp;" %"</f>
        <v>0 c. 0 %</v>
      </c>
      <c r="P186" s="123" t="str">
        <f>VLOOKUP(D186,Poeng!$B$10:$BH$252,Poeng!BH$1,FALSE)</f>
        <v>N/A</v>
      </c>
      <c r="Q186" s="744"/>
      <c r="R186" s="745"/>
      <c r="S186" s="738"/>
      <c r="T186" s="319"/>
      <c r="U186" s="1001"/>
      <c r="V186" s="877" t="str">
        <f>VLOOKUP(D186,Poeng!$B$10:$BC$252,Poeng!AK$1,FALSE)&amp;" c. "&amp;ROUND(VLOOKUP(D186,Poeng!$B$10:$BC$252,Poeng!AG$1,FALSE)*100,1)&amp;" %"</f>
        <v>0 c. 0 %</v>
      </c>
      <c r="W186" s="123" t="str">
        <f>VLOOKUP(D186,Poeng!$B$10:$BK$252,Poeng!BK$1,FALSE)</f>
        <v>N/A</v>
      </c>
      <c r="X186" s="81"/>
      <c r="Y186" s="80"/>
      <c r="Z186" s="738"/>
      <c r="AA186" s="133"/>
      <c r="AB186" s="714"/>
      <c r="AC186" s="107">
        <f t="shared" si="21"/>
        <v>1</v>
      </c>
      <c r="AD186" s="3" t="e">
        <f>VLOOKUP(K186,'Assessment Details'!$O$45:$P$48,2,FALSE)</f>
        <v>#N/A</v>
      </c>
      <c r="AE186" s="3" t="e">
        <f>VLOOKUP(R186,'Assessment Details'!$O$45:$P$48,2,FALSE)</f>
        <v>#N/A</v>
      </c>
      <c r="AF186" s="3" t="e">
        <f>VLOOKUP(Y186,'Assessment Details'!$O$45:$P$48,2,FALSE)</f>
        <v>#N/A</v>
      </c>
      <c r="AI186" s="70"/>
      <c r="AJ186" s="671"/>
      <c r="AK186" s="70"/>
      <c r="AL186" s="70"/>
      <c r="AM186" s="70"/>
      <c r="AN186" s="70"/>
      <c r="AO186" s="70"/>
      <c r="AP186" s="70"/>
      <c r="AS186" s="23"/>
      <c r="AT186" s="23"/>
      <c r="AU186" s="23"/>
      <c r="AV186" s="23"/>
      <c r="AW186" s="23"/>
      <c r="AX186" s="23"/>
      <c r="AZ186" s="714"/>
    </row>
    <row r="187" spans="1:52" x14ac:dyDescent="0.25">
      <c r="A187" s="1077">
        <v>178</v>
      </c>
      <c r="B187" s="1078" t="s">
        <v>71</v>
      </c>
      <c r="C187" s="1083" t="str">
        <f t="shared" si="19"/>
        <v>LE 08</v>
      </c>
      <c r="D187" s="824" t="s">
        <v>814</v>
      </c>
      <c r="E187" s="861" t="str">
        <f>VLOOKUP(D187,Poeng!$B$10:$R$252,Poeng!E$1,FALSE)</f>
        <v>Pre-requisite: risk assessment and the "three- step strategy"</v>
      </c>
      <c r="F187" s="122" t="str">
        <f>VLOOKUP(D187,Poeng!$B$10:$AB$252,Poeng!AB$1,FALSE)</f>
        <v>Yes/No</v>
      </c>
      <c r="G187" s="43"/>
      <c r="H187" s="123" t="str">
        <f>VLOOKUP(D187,Poeng!$B$10:$AE$252,Poeng!AE$1,FALSE)</f>
        <v>-</v>
      </c>
      <c r="I187" s="124" t="str">
        <f>VLOOKUP(D187,Poeng!$B$10:$BE$252,Poeng!BE$1,FALSE)</f>
        <v>N/A</v>
      </c>
      <c r="J187" s="80"/>
      <c r="K187" s="281"/>
      <c r="L187" s="796"/>
      <c r="M187" s="816"/>
      <c r="N187" s="83"/>
      <c r="O187" s="123" t="str">
        <f>VLOOKUP(D187,Poeng!$B$10:$BC$252,Poeng!AF$1,FALSE)</f>
        <v>-</v>
      </c>
      <c r="P187" s="123" t="str">
        <f>VLOOKUP(D187,Poeng!$B$10:$BH$252,Poeng!BH$1,FALSE)</f>
        <v>N/A</v>
      </c>
      <c r="Q187" s="744"/>
      <c r="R187" s="745"/>
      <c r="S187" s="738"/>
      <c r="T187" s="319"/>
      <c r="U187" s="83"/>
      <c r="V187" s="123" t="str">
        <f>VLOOKUP(D187,Poeng!$B$10:$BC$252,Poeng!AG$1,FALSE)</f>
        <v>-</v>
      </c>
      <c r="W187" s="123" t="str">
        <f>VLOOKUP(D187,Poeng!$B$10:$BK$252,Poeng!BK$1,FALSE)</f>
        <v>N/A</v>
      </c>
      <c r="X187" s="81"/>
      <c r="Y187" s="80"/>
      <c r="Z187" s="738"/>
      <c r="AA187" s="133"/>
      <c r="AB187" s="714"/>
      <c r="AC187" s="107">
        <f t="shared" si="21"/>
        <v>1</v>
      </c>
      <c r="AD187" s="3" t="e">
        <f>VLOOKUP(K187,'Assessment Details'!$O$45:$P$48,2,FALSE)</f>
        <v>#N/A</v>
      </c>
      <c r="AE187" s="3" t="e">
        <f>VLOOKUP(R187,'Assessment Details'!$O$45:$P$48,2,FALSE)</f>
        <v>#N/A</v>
      </c>
      <c r="AF187" s="3" t="e">
        <f>VLOOKUP(Y187,'Assessment Details'!$O$45:$P$48,2,FALSE)</f>
        <v>#N/A</v>
      </c>
      <c r="AI187" s="70"/>
      <c r="AJ187" s="671"/>
      <c r="AK187" s="70"/>
      <c r="AL187" s="70"/>
      <c r="AM187" s="70"/>
      <c r="AN187" s="70"/>
      <c r="AO187" s="70"/>
      <c r="AP187" s="70"/>
      <c r="AS187" s="23"/>
      <c r="AT187" s="23"/>
      <c r="AU187" s="23"/>
      <c r="AV187" s="23"/>
      <c r="AW187" s="23"/>
      <c r="AX187" s="23"/>
      <c r="AZ187" s="714"/>
    </row>
    <row r="188" spans="1:52" x14ac:dyDescent="0.25">
      <c r="A188" s="1077">
        <v>179</v>
      </c>
      <c r="B188" s="1078" t="s">
        <v>71</v>
      </c>
      <c r="C188" s="1083" t="str">
        <f>C187</f>
        <v>LE 08</v>
      </c>
      <c r="D188" s="824" t="s">
        <v>815</v>
      </c>
      <c r="E188" s="861" t="str">
        <f>VLOOKUP(D188,Poeng!$B$10:$R$252,Poeng!E$1,FALSE)</f>
        <v>5 mm precipitation</v>
      </c>
      <c r="F188" s="122">
        <f>VLOOKUP(D188,Poeng!$B$10:$AB$252,Poeng!AB$1,FALSE)</f>
        <v>1</v>
      </c>
      <c r="G188" s="43"/>
      <c r="H188" s="123">
        <f>VLOOKUP(D188,Poeng!$B$10:$AE$252,Poeng!AE$1,FALSE)</f>
        <v>0</v>
      </c>
      <c r="I188" s="124" t="str">
        <f>VLOOKUP(D188,Poeng!$B$10:$BE$252,Poeng!BE$1,FALSE)</f>
        <v>N/A</v>
      </c>
      <c r="J188" s="80"/>
      <c r="K188" s="281"/>
      <c r="L188" s="796"/>
      <c r="M188" s="816"/>
      <c r="N188" s="83"/>
      <c r="O188" s="123">
        <f>VLOOKUP(D188,Poeng!$B$10:$BC$252,Poeng!AF$1,FALSE)</f>
        <v>0</v>
      </c>
      <c r="P188" s="123" t="str">
        <f>VLOOKUP(D188,Poeng!$B$10:$BH$252,Poeng!BH$1,FALSE)</f>
        <v>N/A</v>
      </c>
      <c r="Q188" s="744"/>
      <c r="R188" s="745"/>
      <c r="S188" s="738"/>
      <c r="T188" s="319"/>
      <c r="U188" s="83"/>
      <c r="V188" s="123">
        <f>VLOOKUP(D188,Poeng!$B$10:$BC$252,Poeng!AG$1,FALSE)</f>
        <v>0</v>
      </c>
      <c r="W188" s="123" t="str">
        <f>VLOOKUP(D188,Poeng!$B$10:$BK$252,Poeng!BK$1,FALSE)</f>
        <v>N/A</v>
      </c>
      <c r="X188" s="81"/>
      <c r="Y188" s="80"/>
      <c r="Z188" s="738"/>
      <c r="AA188" s="133"/>
      <c r="AB188" s="714"/>
      <c r="AC188" s="107">
        <f t="shared" si="21"/>
        <v>1</v>
      </c>
      <c r="AD188" s="3" t="e">
        <f>VLOOKUP(K188,'Assessment Details'!$O$45:$P$48,2,FALSE)</f>
        <v>#N/A</v>
      </c>
      <c r="AE188" s="3" t="e">
        <f>VLOOKUP(R188,'Assessment Details'!$O$45:$P$48,2,FALSE)</f>
        <v>#N/A</v>
      </c>
      <c r="AF188" s="3" t="e">
        <f>VLOOKUP(Y188,'Assessment Details'!$O$45:$P$48,2,FALSE)</f>
        <v>#N/A</v>
      </c>
      <c r="AI188" s="70"/>
      <c r="AJ188" s="671"/>
      <c r="AK188" s="70"/>
      <c r="AL188" s="70"/>
      <c r="AM188" s="70"/>
      <c r="AN188" s="70"/>
      <c r="AO188" s="70"/>
      <c r="AP188" s="70"/>
      <c r="AS188" s="23"/>
      <c r="AT188" s="23"/>
      <c r="AU188" s="23"/>
      <c r="AV188" s="23"/>
      <c r="AW188" s="23"/>
      <c r="AX188" s="23"/>
      <c r="AZ188" s="714"/>
    </row>
    <row r="189" spans="1:52" x14ac:dyDescent="0.25">
      <c r="A189" s="1077">
        <v>180</v>
      </c>
      <c r="B189" s="1078" t="s">
        <v>71</v>
      </c>
      <c r="C189" s="1083" t="str">
        <f>C187</f>
        <v>LE 08</v>
      </c>
      <c r="D189" s="824" t="s">
        <v>816</v>
      </c>
      <c r="E189" s="861" t="str">
        <f>VLOOKUP(D189,Poeng!$B$10:$R$252,Poeng!E$1,FALSE)</f>
        <v>Maximum run-off</v>
      </c>
      <c r="F189" s="122">
        <f>VLOOKUP(D189,Poeng!$B$10:$AB$252,Poeng!AB$1,FALSE)</f>
        <v>1</v>
      </c>
      <c r="G189" s="43"/>
      <c r="H189" s="123">
        <f>VLOOKUP(D189,Poeng!$B$10:$AE$252,Poeng!AE$1,FALSE)</f>
        <v>0</v>
      </c>
      <c r="I189" s="124" t="str">
        <f>VLOOKUP(D189,Poeng!$B$10:$BE$252,Poeng!BE$1,FALSE)</f>
        <v>N/A</v>
      </c>
      <c r="J189" s="80"/>
      <c r="K189" s="281"/>
      <c r="L189" s="796"/>
      <c r="M189" s="816"/>
      <c r="N189" s="83"/>
      <c r="O189" s="123">
        <f>VLOOKUP(D189,Poeng!$B$10:$BC$252,Poeng!AF$1,FALSE)</f>
        <v>0</v>
      </c>
      <c r="P189" s="123" t="str">
        <f>VLOOKUP(D189,Poeng!$B$10:$BH$252,Poeng!BH$1,FALSE)</f>
        <v>N/A</v>
      </c>
      <c r="Q189" s="744"/>
      <c r="R189" s="745"/>
      <c r="S189" s="738"/>
      <c r="T189" s="319"/>
      <c r="U189" s="83"/>
      <c r="V189" s="123">
        <f>VLOOKUP(D189,Poeng!$B$10:$BC$252,Poeng!AG$1,FALSE)</f>
        <v>0</v>
      </c>
      <c r="W189" s="123" t="str">
        <f>VLOOKUP(D189,Poeng!$B$10:$BK$252,Poeng!BK$1,FALSE)</f>
        <v>N/A</v>
      </c>
      <c r="X189" s="81"/>
      <c r="Y189" s="80"/>
      <c r="Z189" s="738"/>
      <c r="AA189" s="133"/>
      <c r="AB189" s="714"/>
      <c r="AC189" s="107">
        <f t="shared" ref="AC189" si="28">IF(F189="",1,IF(F189=0,2,1))</f>
        <v>1</v>
      </c>
      <c r="AD189" s="3" t="e">
        <f>VLOOKUP(K189,'Assessment Details'!$O$45:$P$48,2,FALSE)</f>
        <v>#N/A</v>
      </c>
      <c r="AE189" s="3" t="e">
        <f>VLOOKUP(R189,'Assessment Details'!$O$45:$P$48,2,FALSE)</f>
        <v>#N/A</v>
      </c>
      <c r="AF189" s="3" t="e">
        <f>VLOOKUP(Y189,'Assessment Details'!$O$45:$P$48,2,FALSE)</f>
        <v>#N/A</v>
      </c>
      <c r="AI189" s="70"/>
      <c r="AJ189" s="671"/>
      <c r="AK189" s="70"/>
      <c r="AL189" s="70"/>
      <c r="AM189" s="70"/>
      <c r="AN189" s="70"/>
      <c r="AO189" s="70"/>
      <c r="AP189" s="70"/>
      <c r="AS189" s="23"/>
      <c r="AT189" s="23"/>
      <c r="AU189" s="23"/>
      <c r="AV189" s="23"/>
      <c r="AW189" s="23"/>
      <c r="AX189" s="23"/>
      <c r="AZ189" s="714"/>
    </row>
    <row r="190" spans="1:52" x14ac:dyDescent="0.25">
      <c r="A190" s="1077">
        <v>181</v>
      </c>
      <c r="B190" s="1078" t="s">
        <v>71</v>
      </c>
      <c r="C190" s="1083" t="str">
        <f>C188</f>
        <v>LE 08</v>
      </c>
      <c r="D190" s="824" t="s">
        <v>962</v>
      </c>
      <c r="E190" s="861" t="str">
        <f>VLOOKUP(D190,Poeng!$B$10:$R$252,Poeng!E$1,FALSE)</f>
        <v>Measures for surface-based water management</v>
      </c>
      <c r="F190" s="122">
        <f>VLOOKUP(D190,Poeng!$B$10:$AB$252,Poeng!AB$1,FALSE)</f>
        <v>1</v>
      </c>
      <c r="G190" s="43"/>
      <c r="H190" s="123">
        <f>VLOOKUP(D190,Poeng!$B$10:$AE$252,Poeng!AE$1,FALSE)</f>
        <v>0</v>
      </c>
      <c r="I190" s="124" t="str">
        <f>VLOOKUP(D190,Poeng!$B$10:$BE$252,Poeng!BE$1,FALSE)</f>
        <v>N/A</v>
      </c>
      <c r="J190" s="80"/>
      <c r="K190" s="281"/>
      <c r="L190" s="796"/>
      <c r="M190" s="816"/>
      <c r="N190" s="83"/>
      <c r="O190" s="123">
        <f>VLOOKUP(D190,Poeng!$B$10:$BC$252,Poeng!AF$1,FALSE)</f>
        <v>0</v>
      </c>
      <c r="P190" s="123" t="str">
        <f>VLOOKUP(D190,Poeng!$B$10:$BH$252,Poeng!BH$1,FALSE)</f>
        <v>N/A</v>
      </c>
      <c r="Q190" s="744"/>
      <c r="R190" s="745"/>
      <c r="S190" s="738"/>
      <c r="T190" s="319"/>
      <c r="U190" s="83"/>
      <c r="V190" s="123">
        <f>VLOOKUP(D190,Poeng!$B$10:$BC$252,Poeng!AG$1,FALSE)</f>
        <v>0</v>
      </c>
      <c r="W190" s="123" t="str">
        <f>VLOOKUP(D190,Poeng!$B$10:$BK$252,Poeng!BK$1,FALSE)</f>
        <v>N/A</v>
      </c>
      <c r="X190" s="81"/>
      <c r="Y190" s="80"/>
      <c r="Z190" s="738"/>
      <c r="AA190" s="133"/>
      <c r="AB190" s="714"/>
      <c r="AC190" s="107">
        <f t="shared" si="21"/>
        <v>1</v>
      </c>
      <c r="AD190" s="3" t="e">
        <f>VLOOKUP(K190,'Assessment Details'!$O$45:$P$48,2,FALSE)</f>
        <v>#N/A</v>
      </c>
      <c r="AE190" s="3" t="e">
        <f>VLOOKUP(R190,'Assessment Details'!$O$45:$P$48,2,FALSE)</f>
        <v>#N/A</v>
      </c>
      <c r="AF190" s="3" t="e">
        <f>VLOOKUP(Y190,'Assessment Details'!$O$45:$P$48,2,FALSE)</f>
        <v>#N/A</v>
      </c>
      <c r="AI190" s="70"/>
      <c r="AJ190" s="671"/>
      <c r="AK190" s="70"/>
      <c r="AL190" s="70"/>
      <c r="AM190" s="70"/>
      <c r="AN190" s="70"/>
      <c r="AO190" s="70"/>
      <c r="AP190" s="70"/>
      <c r="AS190" s="23"/>
      <c r="AT190" s="23"/>
      <c r="AU190" s="23"/>
      <c r="AV190" s="23"/>
      <c r="AW190" s="23"/>
      <c r="AX190" s="23"/>
      <c r="AZ190" s="714"/>
    </row>
    <row r="191" spans="1:52" ht="15.75" thickBot="1" x14ac:dyDescent="0.3">
      <c r="A191" s="1077">
        <v>182</v>
      </c>
      <c r="B191" s="1078" t="s">
        <v>71</v>
      </c>
      <c r="C191" s="1090"/>
      <c r="D191" s="824" t="s">
        <v>890</v>
      </c>
      <c r="E191" s="341" t="s">
        <v>111</v>
      </c>
      <c r="F191" s="125">
        <f>LE_Credits</f>
        <v>19</v>
      </c>
      <c r="G191" s="131"/>
      <c r="H191" s="126">
        <f>LE_cont_tot</f>
        <v>0</v>
      </c>
      <c r="I191" s="867" t="str">
        <f>"Credits achieved: "&amp;Lue_tot_user</f>
        <v>Credits achieved: 0</v>
      </c>
      <c r="J191" s="134"/>
      <c r="K191" s="282"/>
      <c r="L191" s="746"/>
      <c r="M191" s="816"/>
      <c r="N191" s="383"/>
      <c r="O191" s="126">
        <f>VLOOKUP(D191,Poeng!$B$10:$BC$252,Poeng!AF$1,FALSE)</f>
        <v>0</v>
      </c>
      <c r="P191" s="867" t="str">
        <f>"Credits achieved: "&amp;Lue_d_user</f>
        <v>Credits achieved: 0</v>
      </c>
      <c r="Q191" s="747"/>
      <c r="R191" s="748"/>
      <c r="S191" s="746"/>
      <c r="T191" s="319"/>
      <c r="U191" s="383"/>
      <c r="V191" s="126">
        <f>VLOOKUP(D191,Poeng!$B$10:$BC$252,Poeng!AG$1,FALSE)</f>
        <v>0</v>
      </c>
      <c r="W191" s="867" t="str">
        <f>"Credits achieved: "&amp;Lue_c_user</f>
        <v>Credits achieved: 0</v>
      </c>
      <c r="X191" s="382"/>
      <c r="Y191" s="136"/>
      <c r="Z191" s="746"/>
      <c r="AA191" s="133"/>
      <c r="AB191" s="641"/>
      <c r="AC191" s="107">
        <f t="shared" si="21"/>
        <v>1</v>
      </c>
      <c r="AD191" s="276">
        <v>0</v>
      </c>
      <c r="AE191" s="276">
        <v>0</v>
      </c>
      <c r="AF191" s="276">
        <v>0</v>
      </c>
      <c r="AI191" s="70"/>
      <c r="AJ191" s="671" t="s">
        <v>111</v>
      </c>
      <c r="AK191" s="70"/>
      <c r="AL191" s="70"/>
      <c r="AM191" s="70"/>
      <c r="AN191" s="70"/>
      <c r="AO191" s="70"/>
      <c r="AP191" s="70"/>
      <c r="AS191" s="23" t="str">
        <f t="shared" si="24"/>
        <v>N/A</v>
      </c>
      <c r="AT191" s="23" t="str">
        <f t="shared" si="25"/>
        <v>N/A</v>
      </c>
      <c r="AU191" s="23" t="str">
        <f t="shared" si="26"/>
        <v>N/A</v>
      </c>
      <c r="AV191" s="23"/>
      <c r="AW191" s="23"/>
      <c r="AX191" s="23"/>
      <c r="AZ191" s="641"/>
    </row>
    <row r="192" spans="1:52" x14ac:dyDescent="0.25">
      <c r="A192" s="1077">
        <v>183</v>
      </c>
      <c r="B192" s="1078" t="s">
        <v>71</v>
      </c>
      <c r="C192" s="322"/>
      <c r="D192" s="824"/>
      <c r="E192" s="321"/>
      <c r="F192" s="322"/>
      <c r="G192" s="323"/>
      <c r="H192" s="322"/>
      <c r="I192" s="322"/>
      <c r="J192" s="324"/>
      <c r="K192" s="323"/>
      <c r="L192" s="749"/>
      <c r="M192" s="815"/>
      <c r="N192" s="325"/>
      <c r="O192" s="325"/>
      <c r="P192" s="749"/>
      <c r="Q192" s="749"/>
      <c r="R192" s="750"/>
      <c r="S192" s="1095"/>
      <c r="T192" s="326"/>
      <c r="U192" s="325"/>
      <c r="V192" s="325"/>
      <c r="W192" s="749"/>
      <c r="X192" s="324"/>
      <c r="Y192" s="325"/>
      <c r="Z192" s="1095"/>
      <c r="AA192" s="699"/>
      <c r="AB192" s="324"/>
      <c r="AC192" s="107">
        <f t="shared" si="21"/>
        <v>1</v>
      </c>
      <c r="AD192" s="278">
        <v>0</v>
      </c>
      <c r="AE192" s="278">
        <v>0</v>
      </c>
      <c r="AF192" s="278">
        <v>0</v>
      </c>
      <c r="AI192" s="70"/>
      <c r="AJ192" s="671"/>
      <c r="AK192" s="70"/>
      <c r="AL192" s="70"/>
      <c r="AM192" s="70"/>
      <c r="AN192" s="70"/>
      <c r="AO192" s="70"/>
      <c r="AP192" s="70"/>
      <c r="AS192" s="23" t="str">
        <f t="shared" si="24"/>
        <v>N/A</v>
      </c>
      <c r="AT192" s="23" t="str">
        <f t="shared" si="25"/>
        <v>N/A</v>
      </c>
      <c r="AU192" s="23" t="str">
        <f t="shared" si="26"/>
        <v>N/A</v>
      </c>
      <c r="AV192" s="23"/>
      <c r="AW192" s="23"/>
      <c r="AX192" s="23"/>
      <c r="AZ192" s="324"/>
    </row>
    <row r="193" spans="1:52" ht="18.75" x14ac:dyDescent="0.25">
      <c r="A193" s="1077">
        <v>184</v>
      </c>
      <c r="B193" s="1078" t="s">
        <v>72</v>
      </c>
      <c r="C193" s="1085"/>
      <c r="D193" s="824"/>
      <c r="E193" s="327" t="s">
        <v>59</v>
      </c>
      <c r="F193" s="315"/>
      <c r="G193" s="316"/>
      <c r="H193" s="336"/>
      <c r="I193" s="315"/>
      <c r="J193" s="328"/>
      <c r="K193" s="329"/>
      <c r="L193" s="752"/>
      <c r="M193" s="816"/>
      <c r="N193" s="339"/>
      <c r="O193" s="332"/>
      <c r="P193" s="742"/>
      <c r="Q193" s="753"/>
      <c r="R193" s="754"/>
      <c r="S193" s="755"/>
      <c r="T193" s="319"/>
      <c r="U193" s="339"/>
      <c r="V193" s="338"/>
      <c r="W193" s="742"/>
      <c r="X193" s="328"/>
      <c r="Y193" s="338"/>
      <c r="Z193" s="752"/>
      <c r="AA193" s="133"/>
      <c r="AB193" s="337"/>
      <c r="AC193" s="107">
        <f t="shared" si="21"/>
        <v>1</v>
      </c>
      <c r="AD193" s="275">
        <v>0</v>
      </c>
      <c r="AE193" s="275">
        <v>0</v>
      </c>
      <c r="AF193" s="275">
        <v>0</v>
      </c>
      <c r="AI193" s="70"/>
      <c r="AJ193" s="671" t="s">
        <v>59</v>
      </c>
      <c r="AK193" s="70"/>
      <c r="AL193" s="70"/>
      <c r="AM193" s="70"/>
      <c r="AN193" s="70"/>
      <c r="AO193" s="70"/>
      <c r="AP193" s="70"/>
      <c r="AS193" s="23" t="str">
        <f t="shared" si="24"/>
        <v>N/A</v>
      </c>
      <c r="AT193" s="23" t="str">
        <f t="shared" si="25"/>
        <v>N/A</v>
      </c>
      <c r="AU193" s="23" t="str">
        <f t="shared" si="26"/>
        <v>N/A</v>
      </c>
      <c r="AV193" s="23"/>
      <c r="AW193" s="23"/>
      <c r="AX193" s="23"/>
      <c r="AZ193" s="337"/>
    </row>
    <row r="194" spans="1:52" x14ac:dyDescent="0.25">
      <c r="A194" s="1077">
        <v>185</v>
      </c>
      <c r="B194" s="1078" t="s">
        <v>72</v>
      </c>
      <c r="C194" s="924" t="s">
        <v>186</v>
      </c>
      <c r="D194" s="824" t="s">
        <v>186</v>
      </c>
      <c r="E194" s="860" t="str">
        <f>VLOOKUP(D194,Poeng!$B$10:$R$252,Poeng!E$1,FALSE)</f>
        <v>POL 01 Impacts of refrigerants</v>
      </c>
      <c r="F194" s="865">
        <f>VLOOKUP(D194,Poeng!$B$10:$AB$252,Poeng!AB$1,FALSE)</f>
        <v>3</v>
      </c>
      <c r="G194" s="1000"/>
      <c r="H194" s="866" t="str">
        <f>VLOOKUP(D194,Poeng!$B$10:$AI$252,Poeng!AI$1,FALSE)&amp;" c. "&amp;ROUND(VLOOKUP(D194,Poeng!$B$10:$AE$252,Poeng!AE$1,FALSE)*100,1)&amp;" %"</f>
        <v>0 c. 0 %</v>
      </c>
      <c r="I194" s="923" t="str">
        <f>VLOOKUP(D194,Poeng!$B$10:$BE$252,Poeng!BE$1,FALSE)</f>
        <v>N/A</v>
      </c>
      <c r="J194" s="874"/>
      <c r="K194" s="875"/>
      <c r="L194" s="876"/>
      <c r="M194" s="815"/>
      <c r="N194" s="1001"/>
      <c r="O194" s="1094" t="str">
        <f>VLOOKUP(D194,Poeng!$B$10:$BC$252,Poeng!AJ$1,FALSE)&amp;" c. "&amp;ROUND(VLOOKUP(D194,Poeng!$B$10:$BC$252,Poeng!AF$1,FALSE)*100,1)&amp;" %"</f>
        <v>0 c. 0 %</v>
      </c>
      <c r="P194" s="123" t="str">
        <f>VLOOKUP(D194,Poeng!$B$10:$BH$252,Poeng!BH$1,FALSE)</f>
        <v>N/A</v>
      </c>
      <c r="Q194" s="744"/>
      <c r="R194" s="745"/>
      <c r="S194" s="738"/>
      <c r="T194" s="319"/>
      <c r="U194" s="1001"/>
      <c r="V194" s="877" t="str">
        <f>VLOOKUP(D194,Poeng!$B$10:$BC$252,Poeng!AK$1,FALSE)&amp;" c. "&amp;ROUND(VLOOKUP(D194,Poeng!$B$10:$BC$252,Poeng!AG$1,FALSE)*100,1)&amp;" %"</f>
        <v>0 c. 0 %</v>
      </c>
      <c r="W194" s="123" t="str">
        <f>VLOOKUP(D194,Poeng!$B$10:$BK$252,Poeng!BK$1,FALSE)</f>
        <v>N/A</v>
      </c>
      <c r="X194" s="81"/>
      <c r="Y194" s="80"/>
      <c r="Z194" s="738"/>
      <c r="AA194" s="133"/>
      <c r="AB194" s="640" t="s">
        <v>13</v>
      </c>
      <c r="AC194" s="107">
        <f t="shared" si="21"/>
        <v>1</v>
      </c>
      <c r="AD194" s="3" t="e">
        <f>VLOOKUP(K194,'Assessment Details'!$O$45:$P$48,2,FALSE)</f>
        <v>#N/A</v>
      </c>
      <c r="AE194" s="3" t="e">
        <f>VLOOKUP(R194,'Assessment Details'!$O$45:$P$48,2,FALSE)</f>
        <v>#N/A</v>
      </c>
      <c r="AF194" s="3" t="e">
        <f>VLOOKUP(Y194,'Assessment Details'!$O$45:$P$48,2,FALSE)</f>
        <v>#N/A</v>
      </c>
      <c r="AI194" s="70" t="str">
        <f>ais_ja</f>
        <v>Ja</v>
      </c>
      <c r="AJ194" s="671" t="s">
        <v>165</v>
      </c>
      <c r="AK194" s="648" t="s">
        <v>407</v>
      </c>
      <c r="AL194" s="648" t="s">
        <v>411</v>
      </c>
      <c r="AM194" s="648" t="s">
        <v>409</v>
      </c>
      <c r="AN194" s="654" t="s">
        <v>412</v>
      </c>
      <c r="AO194" s="70"/>
      <c r="AP194" s="70"/>
      <c r="AR194" s="1" t="s">
        <v>13</v>
      </c>
      <c r="AS194" s="23" t="str">
        <f t="shared" si="24"/>
        <v>N/A</v>
      </c>
      <c r="AT194" s="23" t="str">
        <f t="shared" si="25"/>
        <v>N/A</v>
      </c>
      <c r="AU194" s="23" t="str">
        <f t="shared" si="26"/>
        <v>N/A</v>
      </c>
      <c r="AV194" s="23" t="str">
        <f t="shared" si="26"/>
        <v>N/A</v>
      </c>
      <c r="AW194" s="23"/>
      <c r="AX194" s="23"/>
      <c r="AZ194" s="640"/>
    </row>
    <row r="195" spans="1:52" x14ac:dyDescent="0.25">
      <c r="A195" s="1077">
        <v>186</v>
      </c>
      <c r="B195" s="1078" t="s">
        <v>72</v>
      </c>
      <c r="C195" s="1083" t="str">
        <f t="shared" si="19"/>
        <v>POL 01</v>
      </c>
      <c r="D195" s="824" t="s">
        <v>817</v>
      </c>
      <c r="E195" s="861" t="str">
        <f>VLOOKUP(D195,Poeng!$B$10:$R$252,Poeng!E$1,FALSE)</f>
        <v>No refrigerants in the building</v>
      </c>
      <c r="F195" s="122">
        <f>VLOOKUP(D195,Poeng!$B$10:$AB$252,Poeng!AB$1,FALSE)</f>
        <v>3</v>
      </c>
      <c r="G195" s="43"/>
      <c r="H195" s="123">
        <f>VLOOKUP(D195,Poeng!$B$10:$AE$252,Poeng!AE$1,FALSE)</f>
        <v>0</v>
      </c>
      <c r="I195" s="124" t="str">
        <f>VLOOKUP(D195,Poeng!$B$10:$BE$252,Poeng!BE$1,FALSE)</f>
        <v>N/A</v>
      </c>
      <c r="J195" s="80"/>
      <c r="K195" s="281"/>
      <c r="L195" s="796"/>
      <c r="M195" s="816"/>
      <c r="N195" s="83"/>
      <c r="O195" s="123">
        <f>VLOOKUP(D195,Poeng!$B$10:$BC$252,Poeng!AF$1,FALSE)</f>
        <v>0</v>
      </c>
      <c r="P195" s="123" t="str">
        <f>VLOOKUP(D195,Poeng!$B$10:$BH$252,Poeng!BH$1,FALSE)</f>
        <v>N/A</v>
      </c>
      <c r="Q195" s="744"/>
      <c r="R195" s="745"/>
      <c r="S195" s="738"/>
      <c r="T195" s="319"/>
      <c r="U195" s="83"/>
      <c r="V195" s="123">
        <f>VLOOKUP(D195,Poeng!$B$10:$BC$252,Poeng!AG$1,FALSE)</f>
        <v>0</v>
      </c>
      <c r="W195" s="123" t="str">
        <f>VLOOKUP(D195,Poeng!$B$10:$BK$252,Poeng!BK$1,FALSE)</f>
        <v>N/A</v>
      </c>
      <c r="X195" s="81"/>
      <c r="Y195" s="80"/>
      <c r="Z195" s="738"/>
      <c r="AA195" s="133"/>
      <c r="AB195" s="640"/>
      <c r="AC195" s="107">
        <f t="shared" si="21"/>
        <v>1</v>
      </c>
      <c r="AD195" s="3" t="e">
        <f>VLOOKUP(K195,'Assessment Details'!$O$45:$P$48,2,FALSE)</f>
        <v>#N/A</v>
      </c>
      <c r="AE195" s="3" t="e">
        <f>VLOOKUP(R195,'Assessment Details'!$O$45:$P$48,2,FALSE)</f>
        <v>#N/A</v>
      </c>
      <c r="AF195" s="3" t="e">
        <f>VLOOKUP(Y195,'Assessment Details'!$O$45:$P$48,2,FALSE)</f>
        <v>#N/A</v>
      </c>
      <c r="AI195" s="70"/>
      <c r="AJ195" s="671"/>
      <c r="AK195" s="648"/>
      <c r="AL195" s="648"/>
      <c r="AM195" s="648"/>
      <c r="AN195" s="654"/>
      <c r="AO195" s="70"/>
      <c r="AP195" s="70"/>
      <c r="AS195" s="23"/>
      <c r="AT195" s="23"/>
      <c r="AU195" s="23"/>
      <c r="AV195" s="23"/>
      <c r="AW195" s="23"/>
      <c r="AX195" s="23"/>
      <c r="AZ195" s="640"/>
    </row>
    <row r="196" spans="1:52" x14ac:dyDescent="0.25">
      <c r="A196" s="1077">
        <v>187</v>
      </c>
      <c r="B196" s="1078" t="s">
        <v>72</v>
      </c>
      <c r="C196" s="1083" t="str">
        <f t="shared" si="19"/>
        <v>POL 01</v>
      </c>
      <c r="D196" s="824" t="s">
        <v>818</v>
      </c>
      <c r="E196" s="861" t="str">
        <f>VLOOKUP(D196,Poeng!$B$10:$R$252,Poeng!E$1,FALSE)</f>
        <v>Pre-requisite: impact of refrigerants</v>
      </c>
      <c r="F196" s="122">
        <f>VLOOKUP(D196,Poeng!$B$10:$AB$252,Poeng!AB$1,FALSE)</f>
        <v>0</v>
      </c>
      <c r="G196" s="43"/>
      <c r="H196" s="123" t="str">
        <f>VLOOKUP(D196,Poeng!$B$10:$AE$252,Poeng!AE$1,FALSE)</f>
        <v>-</v>
      </c>
      <c r="I196" s="124" t="str">
        <f>VLOOKUP(D196,Poeng!$B$10:$BE$252,Poeng!BE$1,FALSE)</f>
        <v>N/A</v>
      </c>
      <c r="J196" s="80"/>
      <c r="K196" s="281"/>
      <c r="L196" s="796"/>
      <c r="M196" s="816"/>
      <c r="N196" s="83"/>
      <c r="O196" s="123" t="str">
        <f>VLOOKUP(D196,Poeng!$B$10:$BC$252,Poeng!AF$1,FALSE)</f>
        <v>-</v>
      </c>
      <c r="P196" s="123" t="str">
        <f>VLOOKUP(D196,Poeng!$B$10:$BH$252,Poeng!BH$1,FALSE)</f>
        <v>N/A</v>
      </c>
      <c r="Q196" s="744"/>
      <c r="R196" s="745"/>
      <c r="S196" s="738"/>
      <c r="T196" s="319"/>
      <c r="U196" s="83"/>
      <c r="V196" s="123" t="str">
        <f>VLOOKUP(D196,Poeng!$B$10:$BC$252,Poeng!AG$1,FALSE)</f>
        <v>-</v>
      </c>
      <c r="W196" s="123" t="str">
        <f>VLOOKUP(D196,Poeng!$B$10:$BK$252,Poeng!BK$1,FALSE)</f>
        <v>N/A</v>
      </c>
      <c r="X196" s="81"/>
      <c r="Y196" s="80"/>
      <c r="Z196" s="738"/>
      <c r="AA196" s="133"/>
      <c r="AB196" s="640"/>
      <c r="AC196" s="107">
        <f t="shared" si="21"/>
        <v>2</v>
      </c>
      <c r="AD196" s="3" t="e">
        <f>VLOOKUP(K196,'Assessment Details'!$O$45:$P$48,2,FALSE)</f>
        <v>#N/A</v>
      </c>
      <c r="AE196" s="3" t="e">
        <f>VLOOKUP(R196,'Assessment Details'!$O$45:$P$48,2,FALSE)</f>
        <v>#N/A</v>
      </c>
      <c r="AF196" s="3" t="e">
        <f>VLOOKUP(Y196,'Assessment Details'!$O$45:$P$48,2,FALSE)</f>
        <v>#N/A</v>
      </c>
      <c r="AI196" s="70"/>
      <c r="AJ196" s="671"/>
      <c r="AK196" s="648"/>
      <c r="AL196" s="648"/>
      <c r="AM196" s="648"/>
      <c r="AN196" s="654"/>
      <c r="AO196" s="70"/>
      <c r="AP196" s="70"/>
      <c r="AS196" s="23"/>
      <c r="AT196" s="23"/>
      <c r="AU196" s="23"/>
      <c r="AV196" s="23"/>
      <c r="AW196" s="23"/>
      <c r="AX196" s="23"/>
      <c r="AZ196" s="640"/>
    </row>
    <row r="197" spans="1:52" x14ac:dyDescent="0.25">
      <c r="A197" s="1077">
        <v>188</v>
      </c>
      <c r="B197" s="1078" t="s">
        <v>72</v>
      </c>
      <c r="C197" s="1083" t="str">
        <f t="shared" si="19"/>
        <v>POL 01</v>
      </c>
      <c r="D197" s="824" t="s">
        <v>819</v>
      </c>
      <c r="E197" s="861" t="str">
        <f>VLOOKUP(D197,Poeng!$B$10:$R$252,Poeng!E$1,FALSE)</f>
        <v>Impact of refrigerants</v>
      </c>
      <c r="F197" s="122">
        <f>VLOOKUP(D197,Poeng!$B$10:$AB$252,Poeng!AB$1,FALSE)</f>
        <v>0</v>
      </c>
      <c r="G197" s="43"/>
      <c r="H197" s="123">
        <f>VLOOKUP(D197,Poeng!$B$10:$AE$252,Poeng!AE$1,FALSE)</f>
        <v>0</v>
      </c>
      <c r="I197" s="124" t="str">
        <f>VLOOKUP(D197,Poeng!$B$10:$BE$252,Poeng!BE$1,FALSE)</f>
        <v>N/A</v>
      </c>
      <c r="J197" s="80"/>
      <c r="K197" s="281"/>
      <c r="L197" s="796"/>
      <c r="M197" s="816"/>
      <c r="N197" s="83"/>
      <c r="O197" s="123">
        <f>VLOOKUP(D197,Poeng!$B$10:$BC$252,Poeng!AF$1,FALSE)</f>
        <v>0</v>
      </c>
      <c r="P197" s="123" t="str">
        <f>VLOOKUP(D197,Poeng!$B$10:$BH$252,Poeng!BH$1,FALSE)</f>
        <v>N/A</v>
      </c>
      <c r="Q197" s="744"/>
      <c r="R197" s="745"/>
      <c r="S197" s="738"/>
      <c r="T197" s="319"/>
      <c r="U197" s="83"/>
      <c r="V197" s="123">
        <f>VLOOKUP(D197,Poeng!$B$10:$BC$252,Poeng!AG$1,FALSE)</f>
        <v>0</v>
      </c>
      <c r="W197" s="123" t="str">
        <f>VLOOKUP(D197,Poeng!$B$10:$BK$252,Poeng!BK$1,FALSE)</f>
        <v>N/A</v>
      </c>
      <c r="X197" s="81"/>
      <c r="Y197" s="80"/>
      <c r="Z197" s="738"/>
      <c r="AA197" s="133"/>
      <c r="AB197" s="640"/>
      <c r="AC197" s="107">
        <f t="shared" si="21"/>
        <v>2</v>
      </c>
      <c r="AD197" s="3" t="e">
        <f>VLOOKUP(K197,'Assessment Details'!$O$45:$P$48,2,FALSE)</f>
        <v>#N/A</v>
      </c>
      <c r="AE197" s="3" t="e">
        <f>VLOOKUP(R197,'Assessment Details'!$O$45:$P$48,2,FALSE)</f>
        <v>#N/A</v>
      </c>
      <c r="AF197" s="3" t="e">
        <f>VLOOKUP(Y197,'Assessment Details'!$O$45:$P$48,2,FALSE)</f>
        <v>#N/A</v>
      </c>
      <c r="AI197" s="70"/>
      <c r="AJ197" s="671"/>
      <c r="AK197" s="648"/>
      <c r="AL197" s="648"/>
      <c r="AM197" s="648"/>
      <c r="AN197" s="654"/>
      <c r="AO197" s="70"/>
      <c r="AP197" s="70"/>
      <c r="AS197" s="23"/>
      <c r="AT197" s="23"/>
      <c r="AU197" s="23"/>
      <c r="AV197" s="23"/>
      <c r="AW197" s="23"/>
      <c r="AX197" s="23"/>
      <c r="AZ197" s="640"/>
    </row>
    <row r="198" spans="1:52" x14ac:dyDescent="0.25">
      <c r="A198" s="1077">
        <v>189</v>
      </c>
      <c r="B198" s="1078" t="s">
        <v>72</v>
      </c>
      <c r="C198" s="1083" t="str">
        <f>C196</f>
        <v>POL 01</v>
      </c>
      <c r="D198" s="824" t="s">
        <v>898</v>
      </c>
      <c r="E198" s="861" t="str">
        <f>VLOOKUP(D198,Poeng!$B$10:$R$252,Poeng!E$1,FALSE)</f>
        <v>Leak detection</v>
      </c>
      <c r="F198" s="122">
        <f>VLOOKUP(D198,Poeng!$B$10:$AB$252,Poeng!AB$1,FALSE)</f>
        <v>0</v>
      </c>
      <c r="G198" s="43"/>
      <c r="H198" s="123">
        <f>VLOOKUP(D198,Poeng!$B$10:$AE$252,Poeng!AE$1,FALSE)</f>
        <v>0</v>
      </c>
      <c r="I198" s="124" t="str">
        <f>VLOOKUP(D198,Poeng!$B$10:$BE$252,Poeng!BE$1,FALSE)</f>
        <v>N/A</v>
      </c>
      <c r="J198" s="80"/>
      <c r="K198" s="281"/>
      <c r="L198" s="796"/>
      <c r="M198" s="816"/>
      <c r="N198" s="83"/>
      <c r="O198" s="123">
        <f>VLOOKUP(D198,Poeng!$B$10:$BC$252,Poeng!AF$1,FALSE)</f>
        <v>0</v>
      </c>
      <c r="P198" s="123" t="str">
        <f>VLOOKUP(D198,Poeng!$B$10:$BH$252,Poeng!BH$1,FALSE)</f>
        <v>N/A</v>
      </c>
      <c r="Q198" s="744"/>
      <c r="R198" s="745"/>
      <c r="S198" s="738"/>
      <c r="T198" s="319"/>
      <c r="U198" s="83"/>
      <c r="V198" s="123">
        <f>VLOOKUP(D198,Poeng!$B$10:$BC$252,Poeng!AG$1,FALSE)</f>
        <v>0</v>
      </c>
      <c r="W198" s="123" t="str">
        <f>VLOOKUP(D198,Poeng!$B$10:$BK$252,Poeng!BK$1,FALSE)</f>
        <v>N/A</v>
      </c>
      <c r="X198" s="81"/>
      <c r="Y198" s="80"/>
      <c r="Z198" s="738"/>
      <c r="AA198" s="133"/>
      <c r="AB198" s="640"/>
      <c r="AC198" s="107">
        <f t="shared" si="21"/>
        <v>2</v>
      </c>
      <c r="AD198" s="3" t="e">
        <f>VLOOKUP(K198,'Assessment Details'!$O$45:$P$48,2,FALSE)</f>
        <v>#N/A</v>
      </c>
      <c r="AE198" s="3" t="e">
        <f>VLOOKUP(R198,'Assessment Details'!$O$45:$P$48,2,FALSE)</f>
        <v>#N/A</v>
      </c>
      <c r="AF198" s="3" t="e">
        <f>VLOOKUP(Y198,'Assessment Details'!$O$45:$P$48,2,FALSE)</f>
        <v>#N/A</v>
      </c>
      <c r="AI198" s="70"/>
      <c r="AJ198" s="671"/>
      <c r="AK198" s="648"/>
      <c r="AL198" s="648"/>
      <c r="AM198" s="648"/>
      <c r="AN198" s="654"/>
      <c r="AO198" s="70"/>
      <c r="AP198" s="70"/>
      <c r="AS198" s="23"/>
      <c r="AT198" s="23"/>
      <c r="AU198" s="23"/>
      <c r="AV198" s="23"/>
      <c r="AW198" s="23"/>
      <c r="AX198" s="23"/>
      <c r="AZ198" s="640"/>
    </row>
    <row r="199" spans="1:52" x14ac:dyDescent="0.25">
      <c r="A199" s="1077">
        <v>190</v>
      </c>
      <c r="B199" s="1078" t="s">
        <v>72</v>
      </c>
      <c r="C199" s="924" t="s">
        <v>187</v>
      </c>
      <c r="D199" s="824" t="s">
        <v>187</v>
      </c>
      <c r="E199" s="860" t="str">
        <f>VLOOKUP(D199,Poeng!$B$10:$R$252,Poeng!E$1,FALSE)</f>
        <v>POL 02 Local air quality</v>
      </c>
      <c r="F199" s="865">
        <f>VLOOKUP(D199,Poeng!$B$10:$AB$252,Poeng!AB$1,FALSE)</f>
        <v>2</v>
      </c>
      <c r="G199" s="1001"/>
      <c r="H199" s="866" t="str">
        <f>VLOOKUP(D199,Poeng!$B$10:$AI$252,Poeng!AI$1,FALSE)&amp;" c. "&amp;ROUND(VLOOKUP(D199,Poeng!$B$10:$AE$252,Poeng!AE$1,FALSE)*100,1)&amp;" %"</f>
        <v>0 c. 0 %</v>
      </c>
      <c r="I199" s="924" t="str">
        <f>VLOOKUP(D199,Poeng!$B$10:$BE$252,Poeng!BE$1,FALSE)</f>
        <v>N/A</v>
      </c>
      <c r="J199" s="80"/>
      <c r="K199" s="281"/>
      <c r="L199" s="796"/>
      <c r="M199" s="816"/>
      <c r="N199" s="1001"/>
      <c r="O199" s="877" t="str">
        <f>VLOOKUP(D199,Poeng!$B$10:$BC$252,Poeng!AJ$1,FALSE)&amp;" c. "&amp;ROUND(VLOOKUP(D199,Poeng!$B$10:$BC$252,Poeng!AF$1,FALSE)*100,1)&amp;" %"</f>
        <v>0 c. 0 %</v>
      </c>
      <c r="P199" s="123" t="str">
        <f>VLOOKUP(D199,Poeng!$B$10:$BH$252,Poeng!BH$1,FALSE)</f>
        <v>N/A</v>
      </c>
      <c r="Q199" s="744"/>
      <c r="R199" s="745"/>
      <c r="S199" s="738"/>
      <c r="T199" s="319"/>
      <c r="U199" s="1001"/>
      <c r="V199" s="877" t="str">
        <f>VLOOKUP(D199,Poeng!$B$10:$BC$252,Poeng!AK$1,FALSE)&amp;" c. "&amp;ROUND(VLOOKUP(D199,Poeng!$B$10:$BC$252,Poeng!AG$1,FALSE)*100,1)&amp;" %"</f>
        <v>0 c. 0 %</v>
      </c>
      <c r="W199" s="123" t="str">
        <f>VLOOKUP(D199,Poeng!$B$10:$BK$252,Poeng!BK$1,FALSE)</f>
        <v>N/A</v>
      </c>
      <c r="X199" s="81"/>
      <c r="Y199" s="80"/>
      <c r="Z199" s="738"/>
      <c r="AA199" s="133"/>
      <c r="AB199" s="640" t="s">
        <v>13</v>
      </c>
      <c r="AC199" s="107">
        <f t="shared" si="21"/>
        <v>1</v>
      </c>
      <c r="AD199" s="3" t="e">
        <f>VLOOKUP(K199,'Assessment Details'!$O$45:$P$48,2,FALSE)</f>
        <v>#N/A</v>
      </c>
      <c r="AE199" s="3" t="e">
        <f>VLOOKUP(R199,'Assessment Details'!$O$45:$P$48,2,FALSE)</f>
        <v>#N/A</v>
      </c>
      <c r="AF199" s="3" t="e">
        <f>VLOOKUP(Y199,'Assessment Details'!$O$45:$P$48,2,FALSE)</f>
        <v>#N/A</v>
      </c>
      <c r="AI199" s="70" t="str">
        <f>ais_ja</f>
        <v>Ja</v>
      </c>
      <c r="AJ199" s="671" t="s">
        <v>398</v>
      </c>
      <c r="AK199" s="648" t="s">
        <v>407</v>
      </c>
      <c r="AL199" s="648" t="s">
        <v>411</v>
      </c>
      <c r="AM199" s="648" t="s">
        <v>409</v>
      </c>
      <c r="AN199" s="70"/>
      <c r="AO199" s="70"/>
      <c r="AP199" s="70"/>
      <c r="AR199" s="1" t="s">
        <v>13</v>
      </c>
      <c r="AS199" s="23" t="str">
        <f t="shared" si="24"/>
        <v>N/A</v>
      </c>
      <c r="AT199" s="23" t="str">
        <f t="shared" si="25"/>
        <v>N/A</v>
      </c>
      <c r="AU199" s="23" t="str">
        <f t="shared" si="26"/>
        <v>N/A</v>
      </c>
      <c r="AV199" s="23"/>
      <c r="AW199" s="23"/>
      <c r="AX199" s="23"/>
      <c r="AZ199" s="640"/>
    </row>
    <row r="200" spans="1:52" x14ac:dyDescent="0.25">
      <c r="A200" s="1077">
        <v>191</v>
      </c>
      <c r="B200" s="1078" t="s">
        <v>72</v>
      </c>
      <c r="C200" s="1083" t="str">
        <f t="shared" si="19"/>
        <v>POL 02</v>
      </c>
      <c r="D200" s="824" t="s">
        <v>820</v>
      </c>
      <c r="E200" s="861" t="str">
        <f>VLOOKUP(D200,Poeng!$B$10:$R$252,Poeng!E$1,FALSE)</f>
        <v>Non-combustion heating and hot water system</v>
      </c>
      <c r="F200" s="122">
        <f>VLOOKUP(D200,Poeng!$B$10:$AB$252,Poeng!AB$1,FALSE)</f>
        <v>2</v>
      </c>
      <c r="G200" s="43"/>
      <c r="H200" s="123">
        <f>VLOOKUP(D200,Poeng!$B$10:$AE$252,Poeng!AE$1,FALSE)</f>
        <v>0</v>
      </c>
      <c r="I200" s="124" t="str">
        <f>VLOOKUP(D200,Poeng!$B$10:$BE$252,Poeng!BE$1,FALSE)</f>
        <v>N/A</v>
      </c>
      <c r="J200" s="80"/>
      <c r="K200" s="281"/>
      <c r="L200" s="796"/>
      <c r="M200" s="816"/>
      <c r="N200" s="83"/>
      <c r="O200" s="123">
        <f>VLOOKUP(D200,Poeng!$B$10:$BC$252,Poeng!AF$1,FALSE)</f>
        <v>0</v>
      </c>
      <c r="P200" s="123" t="str">
        <f>VLOOKUP(D200,Poeng!$B$10:$BH$252,Poeng!BH$1,FALSE)</f>
        <v>N/A</v>
      </c>
      <c r="Q200" s="744"/>
      <c r="R200" s="745"/>
      <c r="S200" s="738"/>
      <c r="T200" s="319"/>
      <c r="U200" s="83"/>
      <c r="V200" s="123">
        <f>VLOOKUP(D200,Poeng!$B$10:$BC$252,Poeng!AG$1,FALSE)</f>
        <v>0</v>
      </c>
      <c r="W200" s="123" t="str">
        <f>VLOOKUP(D200,Poeng!$B$10:$BK$252,Poeng!BK$1,FALSE)</f>
        <v>N/A</v>
      </c>
      <c r="X200" s="81"/>
      <c r="Y200" s="80"/>
      <c r="Z200" s="738"/>
      <c r="AA200" s="133"/>
      <c r="AB200" s="640"/>
      <c r="AC200" s="107">
        <f t="shared" si="21"/>
        <v>1</v>
      </c>
      <c r="AD200" s="3" t="e">
        <f>VLOOKUP(K200,'Assessment Details'!$O$45:$P$48,2,FALSE)</f>
        <v>#N/A</v>
      </c>
      <c r="AE200" s="3" t="e">
        <f>VLOOKUP(R200,'Assessment Details'!$O$45:$P$48,2,FALSE)</f>
        <v>#N/A</v>
      </c>
      <c r="AF200" s="3" t="e">
        <f>VLOOKUP(Y200,'Assessment Details'!$O$45:$P$48,2,FALSE)</f>
        <v>#N/A</v>
      </c>
      <c r="AI200" s="70"/>
      <c r="AJ200" s="671"/>
      <c r="AK200" s="648"/>
      <c r="AL200" s="648"/>
      <c r="AM200" s="648"/>
      <c r="AN200" s="70"/>
      <c r="AO200" s="70"/>
      <c r="AP200" s="70"/>
      <c r="AS200" s="23"/>
      <c r="AT200" s="23"/>
      <c r="AU200" s="23"/>
      <c r="AV200" s="23"/>
      <c r="AW200" s="23"/>
      <c r="AX200" s="23"/>
      <c r="AZ200" s="640"/>
    </row>
    <row r="201" spans="1:52" x14ac:dyDescent="0.25">
      <c r="A201" s="1077">
        <v>192</v>
      </c>
      <c r="B201" s="1078" t="s">
        <v>72</v>
      </c>
      <c r="C201" s="1083" t="str">
        <f t="shared" si="19"/>
        <v>POL 02</v>
      </c>
      <c r="D201" s="824" t="s">
        <v>821</v>
      </c>
      <c r="E201" s="861" t="str">
        <f>VLOOKUP(D201,Poeng!$B$10:$R$252,Poeng!E$1,FALSE)</f>
        <v>Combustion-powered heating and hot water</v>
      </c>
      <c r="F201" s="122">
        <f>VLOOKUP(D201,Poeng!$B$10:$AB$252,Poeng!AB$1,FALSE)</f>
        <v>0</v>
      </c>
      <c r="G201" s="43"/>
      <c r="H201" s="123">
        <f>VLOOKUP(D201,Poeng!$B$10:$AE$252,Poeng!AE$1,FALSE)</f>
        <v>0</v>
      </c>
      <c r="I201" s="124" t="str">
        <f>VLOOKUP(D201,Poeng!$B$10:$BE$252,Poeng!BE$1,FALSE)</f>
        <v>N/A</v>
      </c>
      <c r="J201" s="80"/>
      <c r="K201" s="281"/>
      <c r="L201" s="796"/>
      <c r="M201" s="816"/>
      <c r="N201" s="83"/>
      <c r="O201" s="123">
        <f>VLOOKUP(D201,Poeng!$B$10:$BC$252,Poeng!AF$1,FALSE)</f>
        <v>0</v>
      </c>
      <c r="P201" s="123" t="str">
        <f>VLOOKUP(D201,Poeng!$B$10:$BH$252,Poeng!BH$1,FALSE)</f>
        <v>N/A</v>
      </c>
      <c r="Q201" s="744"/>
      <c r="R201" s="745"/>
      <c r="S201" s="738"/>
      <c r="T201" s="319"/>
      <c r="U201" s="83"/>
      <c r="V201" s="123">
        <f>VLOOKUP(D201,Poeng!$B$10:$BC$252,Poeng!AG$1,FALSE)</f>
        <v>0</v>
      </c>
      <c r="W201" s="123" t="str">
        <f>VLOOKUP(D201,Poeng!$B$10:$BK$252,Poeng!BK$1,FALSE)</f>
        <v>N/A</v>
      </c>
      <c r="X201" s="81"/>
      <c r="Y201" s="80"/>
      <c r="Z201" s="738"/>
      <c r="AA201" s="133"/>
      <c r="AB201" s="640"/>
      <c r="AC201" s="107">
        <f t="shared" si="21"/>
        <v>2</v>
      </c>
      <c r="AD201" s="3" t="e">
        <f>VLOOKUP(K201,'Assessment Details'!$O$45:$P$48,2,FALSE)</f>
        <v>#N/A</v>
      </c>
      <c r="AE201" s="3" t="e">
        <f>VLOOKUP(R201,'Assessment Details'!$O$45:$P$48,2,FALSE)</f>
        <v>#N/A</v>
      </c>
      <c r="AF201" s="3" t="e">
        <f>VLOOKUP(Y201,'Assessment Details'!$O$45:$P$48,2,FALSE)</f>
        <v>#N/A</v>
      </c>
      <c r="AI201" s="70"/>
      <c r="AJ201" s="671"/>
      <c r="AK201" s="648"/>
      <c r="AL201" s="648"/>
      <c r="AM201" s="648"/>
      <c r="AN201" s="70"/>
      <c r="AO201" s="70"/>
      <c r="AP201" s="70"/>
      <c r="AS201" s="23"/>
      <c r="AT201" s="23"/>
      <c r="AU201" s="23"/>
      <c r="AV201" s="23"/>
      <c r="AW201" s="23"/>
      <c r="AX201" s="23"/>
      <c r="AZ201" s="640"/>
    </row>
    <row r="202" spans="1:52" x14ac:dyDescent="0.25">
      <c r="A202" s="1077">
        <v>193</v>
      </c>
      <c r="B202" s="1078" t="s">
        <v>72</v>
      </c>
      <c r="C202" s="924" t="s">
        <v>189</v>
      </c>
      <c r="D202" s="824" t="s">
        <v>189</v>
      </c>
      <c r="E202" s="860" t="str">
        <f>VLOOKUP(D202,Poeng!$B$10:$R$252,Poeng!E$1,FALSE)</f>
        <v>POL 04 Reduction of night time light pollution</v>
      </c>
      <c r="F202" s="865">
        <f>VLOOKUP(D202,Poeng!$B$10:$AB$252,Poeng!AB$1,FALSE)</f>
        <v>1</v>
      </c>
      <c r="G202" s="1001"/>
      <c r="H202" s="866" t="str">
        <f>VLOOKUP(D202,Poeng!$B$10:$AI$252,Poeng!AI$1,FALSE)&amp;" c. "&amp;ROUND(VLOOKUP(D202,Poeng!$B$10:$AE$252,Poeng!AE$1,FALSE)*100,1)&amp;" %"</f>
        <v>0 c. 0 %</v>
      </c>
      <c r="I202" s="924" t="str">
        <f>VLOOKUP(D202,Poeng!$B$10:$BE$252,Poeng!BE$1,FALSE)</f>
        <v>N/A</v>
      </c>
      <c r="J202" s="80"/>
      <c r="K202" s="281"/>
      <c r="L202" s="796"/>
      <c r="M202" s="816"/>
      <c r="N202" s="1001"/>
      <c r="O202" s="877" t="str">
        <f>VLOOKUP(D202,Poeng!$B$10:$BC$252,Poeng!AJ$1,FALSE)&amp;" c. "&amp;ROUND(VLOOKUP(D202,Poeng!$B$10:$BC$252,Poeng!AF$1,FALSE)*100,1)&amp;" %"</f>
        <v>0 c. 0 %</v>
      </c>
      <c r="P202" s="123" t="str">
        <f>VLOOKUP(D202,Poeng!$B$10:$BH$252,Poeng!BH$1,FALSE)</f>
        <v>N/A</v>
      </c>
      <c r="Q202" s="744"/>
      <c r="R202" s="745"/>
      <c r="S202" s="738"/>
      <c r="T202" s="319"/>
      <c r="U202" s="1001"/>
      <c r="V202" s="877" t="str">
        <f>VLOOKUP(D202,Poeng!$B$10:$BC$252,Poeng!AK$1,FALSE)&amp;" c. "&amp;ROUND(VLOOKUP(D202,Poeng!$B$10:$BC$252,Poeng!AG$1,FALSE)*100,1)&amp;" %"</f>
        <v>0 c. 0 %</v>
      </c>
      <c r="W202" s="123" t="str">
        <f>VLOOKUP(D202,Poeng!$B$10:$BK$252,Poeng!BK$1,FALSE)</f>
        <v>N/A</v>
      </c>
      <c r="X202" s="81"/>
      <c r="Y202" s="80"/>
      <c r="Z202" s="738"/>
      <c r="AA202" s="133"/>
      <c r="AB202" s="640" t="s">
        <v>13</v>
      </c>
      <c r="AC202" s="107">
        <f t="shared" si="21"/>
        <v>1</v>
      </c>
      <c r="AD202" s="3" t="e">
        <f>VLOOKUP(K202,'Assessment Details'!$O$45:$P$48,2,FALSE)</f>
        <v>#N/A</v>
      </c>
      <c r="AE202" s="3" t="e">
        <f>VLOOKUP(R202,'Assessment Details'!$O$45:$P$48,2,FALSE)</f>
        <v>#N/A</v>
      </c>
      <c r="AF202" s="3" t="e">
        <f>VLOOKUP(Y202,'Assessment Details'!$O$45:$P$48,2,FALSE)</f>
        <v>#N/A</v>
      </c>
      <c r="AI202" s="70" t="str">
        <f>ais_ja</f>
        <v>Ja</v>
      </c>
      <c r="AJ202" s="671" t="s">
        <v>166</v>
      </c>
      <c r="AK202" s="648" t="s">
        <v>407</v>
      </c>
      <c r="AL202" s="648" t="s">
        <v>411</v>
      </c>
      <c r="AM202" s="648" t="s">
        <v>409</v>
      </c>
      <c r="AN202" s="70"/>
      <c r="AO202" s="70"/>
      <c r="AP202" s="70"/>
      <c r="AR202" s="1" t="s">
        <v>13</v>
      </c>
      <c r="AS202" s="23" t="str">
        <f t="shared" si="24"/>
        <v>N/A</v>
      </c>
      <c r="AT202" s="23" t="str">
        <f t="shared" si="25"/>
        <v>N/A</v>
      </c>
      <c r="AU202" s="23" t="str">
        <f t="shared" si="26"/>
        <v>N/A</v>
      </c>
      <c r="AV202" s="23"/>
      <c r="AW202" s="23"/>
      <c r="AX202" s="23"/>
      <c r="AZ202" s="640"/>
    </row>
    <row r="203" spans="1:52" x14ac:dyDescent="0.25">
      <c r="A203" s="1077">
        <v>194</v>
      </c>
      <c r="B203" s="1078" t="s">
        <v>72</v>
      </c>
      <c r="C203" s="1083" t="str">
        <f t="shared" si="19"/>
        <v>POL 04</v>
      </c>
      <c r="D203" s="824" t="s">
        <v>822</v>
      </c>
      <c r="E203" s="861" t="str">
        <f>VLOOKUP(D203,Poeng!$B$10:$R$252,Poeng!E$1,FALSE)</f>
        <v xml:space="preserve">No external lighting pollution </v>
      </c>
      <c r="F203" s="122">
        <f>VLOOKUP(D203,Poeng!$B$10:$AB$252,Poeng!AB$1,FALSE)</f>
        <v>1</v>
      </c>
      <c r="G203" s="43"/>
      <c r="H203" s="123">
        <f>VLOOKUP(D203,Poeng!$B$10:$AE$252,Poeng!AE$1,FALSE)</f>
        <v>0</v>
      </c>
      <c r="I203" s="124" t="str">
        <f>VLOOKUP(D203,Poeng!$B$10:$BE$252,Poeng!BE$1,FALSE)</f>
        <v>N/A</v>
      </c>
      <c r="J203" s="80"/>
      <c r="K203" s="281"/>
      <c r="L203" s="796"/>
      <c r="M203" s="816"/>
      <c r="N203" s="83"/>
      <c r="O203" s="123">
        <f>VLOOKUP(D203,Poeng!$B$10:$BC$252,Poeng!AF$1,FALSE)</f>
        <v>0</v>
      </c>
      <c r="P203" s="123" t="str">
        <f>VLOOKUP(D203,Poeng!$B$10:$BH$252,Poeng!BH$1,FALSE)</f>
        <v>N/A</v>
      </c>
      <c r="Q203" s="744"/>
      <c r="R203" s="745"/>
      <c r="S203" s="738"/>
      <c r="T203" s="319"/>
      <c r="U203" s="83"/>
      <c r="V203" s="123">
        <f>VLOOKUP(D203,Poeng!$B$10:$BC$252,Poeng!AG$1,FALSE)</f>
        <v>0</v>
      </c>
      <c r="W203" s="123" t="str">
        <f>VLOOKUP(D203,Poeng!$B$10:$BK$252,Poeng!BK$1,FALSE)</f>
        <v>N/A</v>
      </c>
      <c r="X203" s="81"/>
      <c r="Y203" s="80"/>
      <c r="Z203" s="738"/>
      <c r="AA203" s="133"/>
      <c r="AB203" s="640"/>
      <c r="AC203" s="107">
        <f t="shared" si="21"/>
        <v>1</v>
      </c>
      <c r="AD203" s="3" t="e">
        <f>VLOOKUP(K203,'Assessment Details'!$O$45:$P$48,2,FALSE)</f>
        <v>#N/A</v>
      </c>
      <c r="AE203" s="3" t="e">
        <f>VLOOKUP(R203,'Assessment Details'!$O$45:$P$48,2,FALSE)</f>
        <v>#N/A</v>
      </c>
      <c r="AF203" s="3" t="e">
        <f>VLOOKUP(Y203,'Assessment Details'!$O$45:$P$48,2,FALSE)</f>
        <v>#N/A</v>
      </c>
      <c r="AI203" s="70"/>
      <c r="AJ203" s="671"/>
      <c r="AK203" s="648"/>
      <c r="AL203" s="648"/>
      <c r="AM203" s="648"/>
      <c r="AN203" s="70"/>
      <c r="AO203" s="70"/>
      <c r="AP203" s="70"/>
      <c r="AS203" s="23"/>
      <c r="AT203" s="23"/>
      <c r="AU203" s="23"/>
      <c r="AV203" s="23"/>
      <c r="AW203" s="23"/>
      <c r="AX203" s="23"/>
      <c r="AZ203" s="640"/>
    </row>
    <row r="204" spans="1:52" x14ac:dyDescent="0.25">
      <c r="A204" s="1077">
        <v>195</v>
      </c>
      <c r="B204" s="1078" t="s">
        <v>72</v>
      </c>
      <c r="C204" s="1083" t="str">
        <f t="shared" si="19"/>
        <v>POL 04</v>
      </c>
      <c r="D204" s="824" t="s">
        <v>823</v>
      </c>
      <c r="E204" s="861" t="str">
        <f>VLOOKUP(D204,Poeng!$B$10:$R$252,Poeng!E$1,FALSE)</f>
        <v>Minimizing external light pollution</v>
      </c>
      <c r="F204" s="122">
        <f>VLOOKUP(D204,Poeng!$B$10:$AB$252,Poeng!AB$1,FALSE)</f>
        <v>0</v>
      </c>
      <c r="G204" s="43"/>
      <c r="H204" s="123">
        <f>VLOOKUP(D204,Poeng!$B$10:$AE$252,Poeng!AE$1,FALSE)</f>
        <v>0</v>
      </c>
      <c r="I204" s="124" t="str">
        <f>VLOOKUP(D204,Poeng!$B$10:$BE$252,Poeng!BE$1,FALSE)</f>
        <v>N/A</v>
      </c>
      <c r="J204" s="80"/>
      <c r="K204" s="281"/>
      <c r="L204" s="796"/>
      <c r="M204" s="816"/>
      <c r="N204" s="83"/>
      <c r="O204" s="123">
        <f>VLOOKUP(D204,Poeng!$B$10:$BC$252,Poeng!AF$1,FALSE)</f>
        <v>0</v>
      </c>
      <c r="P204" s="123" t="str">
        <f>VLOOKUP(D204,Poeng!$B$10:$BH$252,Poeng!BH$1,FALSE)</f>
        <v>N/A</v>
      </c>
      <c r="Q204" s="744"/>
      <c r="R204" s="745"/>
      <c r="S204" s="738"/>
      <c r="T204" s="319"/>
      <c r="U204" s="83"/>
      <c r="V204" s="123">
        <f>VLOOKUP(D204,Poeng!$B$10:$BC$252,Poeng!AG$1,FALSE)</f>
        <v>0</v>
      </c>
      <c r="W204" s="123" t="str">
        <f>VLOOKUP(D204,Poeng!$B$10:$BK$252,Poeng!BK$1,FALSE)</f>
        <v>N/A</v>
      </c>
      <c r="X204" s="81"/>
      <c r="Y204" s="80"/>
      <c r="Z204" s="738"/>
      <c r="AA204" s="133"/>
      <c r="AB204" s="640"/>
      <c r="AC204" s="107">
        <f t="shared" si="21"/>
        <v>2</v>
      </c>
      <c r="AD204" s="3" t="e">
        <f>VLOOKUP(K204,'Assessment Details'!$O$45:$P$48,2,FALSE)</f>
        <v>#N/A</v>
      </c>
      <c r="AE204" s="3" t="e">
        <f>VLOOKUP(R204,'Assessment Details'!$O$45:$P$48,2,FALSE)</f>
        <v>#N/A</v>
      </c>
      <c r="AF204" s="3" t="e">
        <f>VLOOKUP(Y204,'Assessment Details'!$O$45:$P$48,2,FALSE)</f>
        <v>#N/A</v>
      </c>
      <c r="AI204" s="70"/>
      <c r="AJ204" s="671"/>
      <c r="AK204" s="648"/>
      <c r="AL204" s="648"/>
      <c r="AM204" s="648"/>
      <c r="AN204" s="70"/>
      <c r="AO204" s="70"/>
      <c r="AP204" s="70"/>
      <c r="AS204" s="23"/>
      <c r="AT204" s="23"/>
      <c r="AU204" s="23"/>
      <c r="AV204" s="23"/>
      <c r="AW204" s="23"/>
      <c r="AX204" s="23"/>
      <c r="AZ204" s="640"/>
    </row>
    <row r="205" spans="1:52" x14ac:dyDescent="0.25">
      <c r="A205" s="1077">
        <v>196</v>
      </c>
      <c r="B205" s="1078" t="s">
        <v>72</v>
      </c>
      <c r="C205" s="924" t="s">
        <v>190</v>
      </c>
      <c r="D205" s="824" t="s">
        <v>190</v>
      </c>
      <c r="E205" s="860" t="str">
        <f>VLOOKUP(D205,Poeng!$B$10:$R$252,Poeng!E$1,FALSE)</f>
        <v>POL 05 Reduction of noise pollution</v>
      </c>
      <c r="F205" s="865">
        <f>VLOOKUP(D205,Poeng!$B$10:$AB$252,Poeng!AB$1,FALSE)</f>
        <v>1</v>
      </c>
      <c r="G205" s="1001"/>
      <c r="H205" s="866" t="str">
        <f>VLOOKUP(D205,Poeng!$B$10:$AI$252,Poeng!AI$1,FALSE)&amp;" c. "&amp;ROUND(VLOOKUP(D205,Poeng!$B$10:$AE$252,Poeng!AE$1,FALSE)*100,1)&amp;" %"</f>
        <v>0 c. 0 %</v>
      </c>
      <c r="I205" s="924" t="str">
        <f>VLOOKUP(D205,Poeng!$B$10:$BE$252,Poeng!BE$1,FALSE)</f>
        <v>N/A</v>
      </c>
      <c r="J205" s="80"/>
      <c r="K205" s="281"/>
      <c r="L205" s="796"/>
      <c r="M205" s="816"/>
      <c r="N205" s="1001"/>
      <c r="O205" s="877" t="str">
        <f>VLOOKUP(D205,Poeng!$B$10:$BC$252,Poeng!AJ$1,FALSE)&amp;" c. "&amp;ROUND(VLOOKUP(D205,Poeng!$B$10:$BC$252,Poeng!AF$1,FALSE)*100,1)&amp;" %"</f>
        <v>0 c. 0 %</v>
      </c>
      <c r="P205" s="123" t="str">
        <f>VLOOKUP(D205,Poeng!$B$10:$BH$252,Poeng!BH$1,FALSE)</f>
        <v>N/A</v>
      </c>
      <c r="Q205" s="744"/>
      <c r="R205" s="745"/>
      <c r="S205" s="738"/>
      <c r="T205" s="319"/>
      <c r="U205" s="1001"/>
      <c r="V205" s="877" t="str">
        <f>VLOOKUP(D205,Poeng!$B$10:$BC$252,Poeng!AK$1,FALSE)&amp;" c. "&amp;ROUND(VLOOKUP(D205,Poeng!$B$10:$BC$252,Poeng!AG$1,FALSE)*100,1)&amp;" %"</f>
        <v>0 c. 0 %</v>
      </c>
      <c r="W205" s="123" t="str">
        <f>VLOOKUP(D205,Poeng!$B$10:$BK$252,Poeng!BK$1,FALSE)</f>
        <v>N/A</v>
      </c>
      <c r="X205" s="81"/>
      <c r="Y205" s="80"/>
      <c r="Z205" s="738"/>
      <c r="AA205" s="133"/>
      <c r="AB205" s="640" t="s">
        <v>13</v>
      </c>
      <c r="AC205" s="107">
        <f t="shared" si="21"/>
        <v>1</v>
      </c>
      <c r="AD205" s="3" t="e">
        <f>VLOOKUP(K205,'Assessment Details'!$O$45:$P$48,2,FALSE)</f>
        <v>#N/A</v>
      </c>
      <c r="AE205" s="3" t="e">
        <f>VLOOKUP(R205,'Assessment Details'!$O$45:$P$48,2,FALSE)</f>
        <v>#N/A</v>
      </c>
      <c r="AF205" s="3" t="e">
        <f>VLOOKUP(Y205,'Assessment Details'!$O$45:$P$48,2,FALSE)</f>
        <v>#N/A</v>
      </c>
      <c r="AI205" s="70" t="str">
        <f>ais_ja</f>
        <v>Ja</v>
      </c>
      <c r="AJ205" s="671" t="s">
        <v>169</v>
      </c>
      <c r="AK205" s="648" t="s">
        <v>407</v>
      </c>
      <c r="AL205" s="648" t="s">
        <v>411</v>
      </c>
      <c r="AM205" s="648" t="s">
        <v>409</v>
      </c>
      <c r="AN205" s="70"/>
      <c r="AO205" s="70"/>
      <c r="AP205" s="70"/>
      <c r="AR205" s="1" t="s">
        <v>13</v>
      </c>
      <c r="AS205" s="23" t="str">
        <f t="shared" si="24"/>
        <v>N/A</v>
      </c>
      <c r="AT205" s="23" t="str">
        <f t="shared" si="25"/>
        <v>N/A</v>
      </c>
      <c r="AU205" s="23" t="str">
        <f t="shared" si="26"/>
        <v>N/A</v>
      </c>
      <c r="AV205" s="23"/>
      <c r="AW205" s="23"/>
      <c r="AX205" s="23"/>
      <c r="AZ205" s="640"/>
    </row>
    <row r="206" spans="1:52" x14ac:dyDescent="0.25">
      <c r="A206" s="1077">
        <v>197</v>
      </c>
      <c r="B206" s="1078" t="s">
        <v>72</v>
      </c>
      <c r="C206" s="1083" t="str">
        <f t="shared" si="19"/>
        <v>POL 05</v>
      </c>
      <c r="D206" s="824" t="s">
        <v>824</v>
      </c>
      <c r="E206" s="861" t="str">
        <f>VLOOKUP(D206,Poeng!$B$10:$R$252,Poeng!E$1,FALSE)</f>
        <v>No noise-sensitive areas</v>
      </c>
      <c r="F206" s="122">
        <f>VLOOKUP(D206,Poeng!$B$10:$AB$252,Poeng!AB$1,FALSE)</f>
        <v>1</v>
      </c>
      <c r="G206" s="43"/>
      <c r="H206" s="123">
        <f>VLOOKUP(D206,Poeng!$B$10:$AE$252,Poeng!AE$1,FALSE)</f>
        <v>0</v>
      </c>
      <c r="I206" s="124" t="str">
        <f>VLOOKUP(D206,Poeng!$B$10:$BE$252,Poeng!BE$1,FALSE)</f>
        <v>N/A</v>
      </c>
      <c r="J206" s="80"/>
      <c r="K206" s="281"/>
      <c r="L206" s="796"/>
      <c r="M206" s="816"/>
      <c r="N206" s="83"/>
      <c r="O206" s="123">
        <f>VLOOKUP(D206,Poeng!$B$10:$BC$252,Poeng!AF$1,FALSE)</f>
        <v>0</v>
      </c>
      <c r="P206" s="123" t="str">
        <f>VLOOKUP(D206,Poeng!$B$10:$BH$252,Poeng!BH$1,FALSE)</f>
        <v>N/A</v>
      </c>
      <c r="Q206" s="744"/>
      <c r="R206" s="745"/>
      <c r="S206" s="738"/>
      <c r="T206" s="319"/>
      <c r="U206" s="83"/>
      <c r="V206" s="123">
        <f>VLOOKUP(D206,Poeng!$B$10:$BC$252,Poeng!AG$1,FALSE)</f>
        <v>0</v>
      </c>
      <c r="W206" s="123" t="str">
        <f>VLOOKUP(D206,Poeng!$B$10:$BK$252,Poeng!BK$1,FALSE)</f>
        <v>N/A</v>
      </c>
      <c r="X206" s="81"/>
      <c r="Y206" s="80"/>
      <c r="Z206" s="738"/>
      <c r="AA206" s="133"/>
      <c r="AB206" s="714"/>
      <c r="AC206" s="107">
        <f t="shared" si="21"/>
        <v>1</v>
      </c>
      <c r="AD206" s="3" t="e">
        <f>VLOOKUP(K206,'Assessment Details'!$O$45:$P$48,2,FALSE)</f>
        <v>#N/A</v>
      </c>
      <c r="AE206" s="3" t="e">
        <f>VLOOKUP(R206,'Assessment Details'!$O$45:$P$48,2,FALSE)</f>
        <v>#N/A</v>
      </c>
      <c r="AF206" s="3" t="e">
        <f>VLOOKUP(Y206,'Assessment Details'!$O$45:$P$48,2,FALSE)</f>
        <v>#N/A</v>
      </c>
      <c r="AI206" s="70"/>
      <c r="AJ206" s="671"/>
      <c r="AK206" s="648"/>
      <c r="AL206" s="648"/>
      <c r="AM206" s="648"/>
      <c r="AN206" s="70"/>
      <c r="AO206" s="70"/>
      <c r="AP206" s="70"/>
      <c r="AS206" s="23"/>
      <c r="AT206" s="23"/>
      <c r="AU206" s="23"/>
      <c r="AV206" s="23"/>
      <c r="AW206" s="23"/>
      <c r="AX206" s="23"/>
      <c r="AZ206" s="714"/>
    </row>
    <row r="207" spans="1:52" x14ac:dyDescent="0.25">
      <c r="A207" s="1077">
        <v>198</v>
      </c>
      <c r="B207" s="1078" t="s">
        <v>72</v>
      </c>
      <c r="C207" s="1083" t="str">
        <f t="shared" si="19"/>
        <v>POL 05</v>
      </c>
      <c r="D207" s="824" t="s">
        <v>825</v>
      </c>
      <c r="E207" s="861" t="str">
        <f>VLOOKUP(D207,Poeng!$B$10:$R$252,Poeng!E$1,FALSE)</f>
        <v>Minimizing noise pollution in noise-sensitive areas</v>
      </c>
      <c r="F207" s="122">
        <f>VLOOKUP(D207,Poeng!$B$10:$AB$252,Poeng!AB$1,FALSE)</f>
        <v>0</v>
      </c>
      <c r="G207" s="43"/>
      <c r="H207" s="123">
        <f>VLOOKUP(D207,Poeng!$B$10:$AE$252,Poeng!AE$1,FALSE)</f>
        <v>0</v>
      </c>
      <c r="I207" s="124" t="str">
        <f>VLOOKUP(D207,Poeng!$B$10:$BE$252,Poeng!BE$1,FALSE)</f>
        <v>N/A</v>
      </c>
      <c r="J207" s="80"/>
      <c r="K207" s="281"/>
      <c r="L207" s="796"/>
      <c r="M207" s="816"/>
      <c r="N207" s="83"/>
      <c r="O207" s="123">
        <f>VLOOKUP(D207,Poeng!$B$10:$BC$252,Poeng!AF$1,FALSE)</f>
        <v>0</v>
      </c>
      <c r="P207" s="123" t="str">
        <f>VLOOKUP(D207,Poeng!$B$10:$BH$252,Poeng!BH$1,FALSE)</f>
        <v>N/A</v>
      </c>
      <c r="Q207" s="744"/>
      <c r="R207" s="745"/>
      <c r="S207" s="738"/>
      <c r="T207" s="319"/>
      <c r="U207" s="83"/>
      <c r="V207" s="123">
        <f>VLOOKUP(D207,Poeng!$B$10:$BC$252,Poeng!AG$1,FALSE)</f>
        <v>0</v>
      </c>
      <c r="W207" s="123" t="str">
        <f>VLOOKUP(D207,Poeng!$B$10:$BK$252,Poeng!BK$1,FALSE)</f>
        <v>N/A</v>
      </c>
      <c r="X207" s="81"/>
      <c r="Y207" s="80"/>
      <c r="Z207" s="738"/>
      <c r="AA207" s="133"/>
      <c r="AB207" s="714"/>
      <c r="AC207" s="107">
        <f t="shared" si="21"/>
        <v>2</v>
      </c>
      <c r="AD207" s="3" t="e">
        <f>VLOOKUP(K207,'Assessment Details'!$O$45:$P$48,2,FALSE)</f>
        <v>#N/A</v>
      </c>
      <c r="AE207" s="3" t="e">
        <f>VLOOKUP(R207,'Assessment Details'!$O$45:$P$48,2,FALSE)</f>
        <v>#N/A</v>
      </c>
      <c r="AF207" s="3" t="e">
        <f>VLOOKUP(Y207,'Assessment Details'!$O$45:$P$48,2,FALSE)</f>
        <v>#N/A</v>
      </c>
      <c r="AI207" s="70"/>
      <c r="AJ207" s="671"/>
      <c r="AK207" s="648"/>
      <c r="AL207" s="648"/>
      <c r="AM207" s="648"/>
      <c r="AN207" s="70"/>
      <c r="AO207" s="70"/>
      <c r="AP207" s="70"/>
      <c r="AS207" s="23"/>
      <c r="AT207" s="23"/>
      <c r="AU207" s="23"/>
      <c r="AV207" s="23"/>
      <c r="AW207" s="23"/>
      <c r="AX207" s="23"/>
      <c r="AZ207" s="714"/>
    </row>
    <row r="208" spans="1:52" ht="15.75" thickBot="1" x14ac:dyDescent="0.3">
      <c r="A208" s="1077">
        <v>199</v>
      </c>
      <c r="B208" s="1078" t="s">
        <v>72</v>
      </c>
      <c r="C208" s="1084"/>
      <c r="D208" s="824" t="s">
        <v>891</v>
      </c>
      <c r="E208" s="320" t="s">
        <v>112</v>
      </c>
      <c r="F208" s="125">
        <f>Pol_Credits</f>
        <v>7</v>
      </c>
      <c r="G208" s="131"/>
      <c r="H208" s="126">
        <f>Pol_cont_tot</f>
        <v>0</v>
      </c>
      <c r="I208" s="867" t="str">
        <f>"Credits achieved: "&amp;Pol_tot_user</f>
        <v>Credits achieved: 0</v>
      </c>
      <c r="J208" s="134"/>
      <c r="K208" s="282"/>
      <c r="L208" s="746"/>
      <c r="M208" s="816"/>
      <c r="N208" s="383"/>
      <c r="O208" s="126">
        <f>VLOOKUP(D208,Poeng!$B$10:$BC$252,Poeng!AF$1,FALSE)</f>
        <v>0</v>
      </c>
      <c r="P208" s="867" t="str">
        <f>"Credits achieved: "&amp;Pol_d_user</f>
        <v>Credits achieved: 0</v>
      </c>
      <c r="Q208" s="747"/>
      <c r="R208" s="748"/>
      <c r="S208" s="746"/>
      <c r="T208" s="319"/>
      <c r="U208" s="383"/>
      <c r="V208" s="126">
        <f>VLOOKUP(D208,Poeng!$B$10:$BC$252,Poeng!AG$1,FALSE)</f>
        <v>0</v>
      </c>
      <c r="W208" s="867" t="str">
        <f>"Credits achieved: "&amp;Pol_c_user</f>
        <v>Credits achieved: 0</v>
      </c>
      <c r="X208" s="382"/>
      <c r="Y208" s="136"/>
      <c r="Z208" s="746"/>
      <c r="AA208" s="133"/>
      <c r="AB208" s="641"/>
      <c r="AC208" s="107">
        <f t="shared" si="21"/>
        <v>1</v>
      </c>
      <c r="AD208" s="276">
        <v>0</v>
      </c>
      <c r="AE208" s="276">
        <v>0</v>
      </c>
      <c r="AF208" s="276">
        <v>0</v>
      </c>
      <c r="AI208" s="70"/>
      <c r="AJ208" s="671" t="s">
        <v>112</v>
      </c>
      <c r="AK208" s="70"/>
      <c r="AL208" s="70"/>
      <c r="AM208" s="70"/>
      <c r="AN208" s="70"/>
      <c r="AO208" s="70"/>
      <c r="AP208" s="70"/>
      <c r="AS208" s="23" t="str">
        <f t="shared" si="24"/>
        <v>N/A</v>
      </c>
      <c r="AT208" s="23" t="str">
        <f t="shared" si="25"/>
        <v>N/A</v>
      </c>
      <c r="AU208" s="23" t="str">
        <f t="shared" si="26"/>
        <v>N/A</v>
      </c>
      <c r="AV208" s="23"/>
      <c r="AW208" s="23"/>
      <c r="AX208" s="23"/>
      <c r="AZ208" s="641"/>
    </row>
    <row r="209" spans="1:52" x14ac:dyDescent="0.25">
      <c r="A209" s="1077">
        <v>200</v>
      </c>
      <c r="B209" s="1078" t="s">
        <v>72</v>
      </c>
      <c r="C209" s="322"/>
      <c r="D209" s="824"/>
      <c r="E209" s="321"/>
      <c r="F209" s="322"/>
      <c r="G209" s="323"/>
      <c r="H209" s="322"/>
      <c r="I209" s="322"/>
      <c r="J209" s="324"/>
      <c r="K209" s="323"/>
      <c r="L209" s="749"/>
      <c r="M209" s="815"/>
      <c r="N209" s="325"/>
      <c r="O209" s="325"/>
      <c r="P209" s="749"/>
      <c r="Q209" s="749"/>
      <c r="R209" s="750"/>
      <c r="S209" s="1095"/>
      <c r="T209" s="326"/>
      <c r="U209" s="325"/>
      <c r="V209" s="325"/>
      <c r="W209" s="749"/>
      <c r="X209" s="324"/>
      <c r="Y209" s="325"/>
      <c r="Z209" s="1095"/>
      <c r="AA209" s="699"/>
      <c r="AB209" s="324"/>
      <c r="AC209" s="107">
        <f t="shared" si="21"/>
        <v>1</v>
      </c>
      <c r="AD209" s="278">
        <v>0</v>
      </c>
      <c r="AE209" s="278">
        <v>0</v>
      </c>
      <c r="AF209" s="278">
        <v>0</v>
      </c>
      <c r="AI209" s="70"/>
      <c r="AJ209" s="671"/>
      <c r="AK209" s="70"/>
      <c r="AL209" s="70"/>
      <c r="AM209" s="70"/>
      <c r="AN209" s="70"/>
      <c r="AO209" s="70"/>
      <c r="AP209" s="70"/>
      <c r="AS209" s="23" t="str">
        <f t="shared" si="24"/>
        <v>N/A</v>
      </c>
      <c r="AT209" s="23" t="str">
        <f t="shared" si="25"/>
        <v>N/A</v>
      </c>
      <c r="AU209" s="23" t="str">
        <f t="shared" si="26"/>
        <v>N/A</v>
      </c>
      <c r="AV209" s="23"/>
      <c r="AW209" s="23"/>
      <c r="AX209" s="23"/>
      <c r="AZ209" s="324"/>
    </row>
    <row r="210" spans="1:52" ht="18.75" x14ac:dyDescent="0.25">
      <c r="A210" s="1077">
        <v>201</v>
      </c>
      <c r="B210" s="1078" t="s">
        <v>826</v>
      </c>
      <c r="C210" s="1085"/>
      <c r="D210" s="824"/>
      <c r="E210" s="327" t="s">
        <v>256</v>
      </c>
      <c r="F210" s="315"/>
      <c r="G210" s="316"/>
      <c r="H210" s="336"/>
      <c r="I210" s="315"/>
      <c r="J210" s="328"/>
      <c r="K210" s="329"/>
      <c r="L210" s="752"/>
      <c r="M210" s="816"/>
      <c r="N210" s="339"/>
      <c r="O210" s="332"/>
      <c r="P210" s="742"/>
      <c r="Q210" s="753"/>
      <c r="R210" s="754"/>
      <c r="S210" s="755"/>
      <c r="T210" s="319"/>
      <c r="U210" s="339"/>
      <c r="V210" s="338"/>
      <c r="W210" s="742"/>
      <c r="X210" s="328"/>
      <c r="Y210" s="338"/>
      <c r="Z210" s="752"/>
      <c r="AA210" s="133"/>
      <c r="AB210" s="337"/>
      <c r="AC210" s="107">
        <f t="shared" si="21"/>
        <v>1</v>
      </c>
      <c r="AD210" s="275">
        <v>0</v>
      </c>
      <c r="AE210" s="275">
        <v>0</v>
      </c>
      <c r="AF210" s="275">
        <v>0</v>
      </c>
      <c r="AI210" s="70"/>
      <c r="AJ210" s="671" t="s">
        <v>256</v>
      </c>
      <c r="AK210" s="70"/>
      <c r="AL210" s="70"/>
      <c r="AM210" s="70"/>
      <c r="AN210" s="70"/>
      <c r="AO210" s="70"/>
      <c r="AP210" s="70"/>
      <c r="AS210" s="23" t="str">
        <f t="shared" si="24"/>
        <v>N/A</v>
      </c>
      <c r="AT210" s="23" t="str">
        <f t="shared" si="25"/>
        <v>N/A</v>
      </c>
      <c r="AU210" s="23" t="str">
        <f t="shared" si="26"/>
        <v>N/A</v>
      </c>
      <c r="AV210" s="23"/>
      <c r="AW210" s="23"/>
      <c r="AX210" s="23"/>
      <c r="AZ210" s="337"/>
    </row>
    <row r="211" spans="1:52" x14ac:dyDescent="0.25">
      <c r="A211" s="1077">
        <v>202</v>
      </c>
      <c r="B211" s="1078" t="s">
        <v>826</v>
      </c>
      <c r="C211" s="1091" t="s">
        <v>826</v>
      </c>
      <c r="D211" s="824" t="s">
        <v>191</v>
      </c>
      <c r="E211" s="318" t="str">
        <f>VLOOKUP(D211,Poeng!$B$10:$R$252,Poeng!E$1,FALSE)</f>
        <v xml:space="preserve">Inn 01 - Man 03: Reduction of direct emissions from construction sites </v>
      </c>
      <c r="F211" s="122">
        <f>Inn01_credits</f>
        <v>1</v>
      </c>
      <c r="G211" s="43"/>
      <c r="H211" s="123">
        <f>Inn01_cont</f>
        <v>0</v>
      </c>
      <c r="I211" s="129" t="str">
        <f>Inn01_minstd</f>
        <v>N/A</v>
      </c>
      <c r="J211" s="80"/>
      <c r="K211" s="281"/>
      <c r="L211" s="738"/>
      <c r="M211" s="816"/>
      <c r="N211" s="83"/>
      <c r="O211" s="1093">
        <f>VLOOKUP(D211,Poeng!$B$10:$BC$252,Poeng!AF$1,FALSE)</f>
        <v>0</v>
      </c>
      <c r="P211" s="123" t="str">
        <f>VLOOKUP(D211,Poeng!$B$10:$BH$252,Poeng!BH$1,FALSE)</f>
        <v>N/A</v>
      </c>
      <c r="Q211" s="744"/>
      <c r="R211" s="745"/>
      <c r="S211" s="738"/>
      <c r="T211" s="319"/>
      <c r="U211" s="83"/>
      <c r="V211" s="123">
        <f>VLOOKUP(D211,Poeng!$B$10:$BC$252,Poeng!AG$1,FALSE)</f>
        <v>0</v>
      </c>
      <c r="W211" s="123" t="str">
        <f>VLOOKUP(D211,Poeng!$B$10:$BK$252,Poeng!BK$1,FALSE)</f>
        <v>N/A</v>
      </c>
      <c r="X211" s="81"/>
      <c r="Y211" s="80"/>
      <c r="Z211" s="738"/>
      <c r="AA211" s="133"/>
      <c r="AB211" s="640" t="s">
        <v>14</v>
      </c>
      <c r="AC211" s="107">
        <f t="shared" ref="AC211:AC225" si="29">IF(F211="",1,IF(F211=0,2,1))</f>
        <v>1</v>
      </c>
      <c r="AD211" s="3" t="e">
        <f>VLOOKUP(K211,'Assessment Details'!$O$45:$P$48,2,FALSE)</f>
        <v>#N/A</v>
      </c>
      <c r="AE211" s="3" t="e">
        <f>VLOOKUP(R211,'Assessment Details'!$O$45:$P$48,2,FALSE)</f>
        <v>#N/A</v>
      </c>
      <c r="AF211" s="3" t="e">
        <f>VLOOKUP(Y211,'Assessment Details'!$O$45:$P$48,2,FALSE)</f>
        <v>#N/A</v>
      </c>
      <c r="AI211" s="70"/>
      <c r="AJ211" s="671" t="s">
        <v>337</v>
      </c>
      <c r="AK211" s="70"/>
      <c r="AL211" s="70"/>
      <c r="AM211" s="70"/>
      <c r="AN211" s="70"/>
      <c r="AO211" s="70"/>
      <c r="AP211" s="70"/>
      <c r="AS211" s="23" t="str">
        <f t="shared" si="24"/>
        <v>N/A</v>
      </c>
      <c r="AT211" s="23" t="str">
        <f t="shared" si="25"/>
        <v>N/A</v>
      </c>
      <c r="AU211" s="23" t="str">
        <f t="shared" si="26"/>
        <v>N/A</v>
      </c>
      <c r="AV211" s="23"/>
      <c r="AW211" s="23"/>
      <c r="AX211" s="23"/>
      <c r="AZ211" s="640"/>
    </row>
    <row r="212" spans="1:52" x14ac:dyDescent="0.25">
      <c r="A212" s="1077">
        <v>203</v>
      </c>
      <c r="B212" s="1078" t="s">
        <v>826</v>
      </c>
      <c r="C212" s="1091" t="s">
        <v>826</v>
      </c>
      <c r="D212" s="824" t="s">
        <v>192</v>
      </c>
      <c r="E212" s="318" t="str">
        <f>VLOOKUP(D212,Poeng!$B$10:$R$252,Poeng!E$1,FALSE)</f>
        <v xml:space="preserve">Inn 02 - Hea 01: View out, high level </v>
      </c>
      <c r="F212" s="122">
        <f>Inn02_credits</f>
        <v>1</v>
      </c>
      <c r="G212" s="43"/>
      <c r="H212" s="123">
        <f>Inn02_cont</f>
        <v>0</v>
      </c>
      <c r="I212" s="129" t="str">
        <f>Inn02_minstd</f>
        <v>N/A</v>
      </c>
      <c r="J212" s="80"/>
      <c r="K212" s="281"/>
      <c r="L212" s="738"/>
      <c r="M212" s="816"/>
      <c r="N212" s="83"/>
      <c r="O212" s="123">
        <f>VLOOKUP(D212,Poeng!$B$10:$BC$252,Poeng!AF$1,FALSE)</f>
        <v>0</v>
      </c>
      <c r="P212" s="123" t="str">
        <f>VLOOKUP(D212,Poeng!$B$10:$BH$252,Poeng!BH$1,FALSE)</f>
        <v>N/A</v>
      </c>
      <c r="Q212" s="744"/>
      <c r="R212" s="745"/>
      <c r="S212" s="738"/>
      <c r="T212" s="319"/>
      <c r="U212" s="83"/>
      <c r="V212" s="123">
        <f>VLOOKUP(D212,Poeng!$B$10:$BC$252,Poeng!AG$1,FALSE)</f>
        <v>0</v>
      </c>
      <c r="W212" s="123" t="str">
        <f>VLOOKUP(D212,Poeng!$B$10:$BK$252,Poeng!BK$1,FALSE)</f>
        <v>N/A</v>
      </c>
      <c r="X212" s="81"/>
      <c r="Y212" s="80"/>
      <c r="Z212" s="738"/>
      <c r="AA212" s="133"/>
      <c r="AB212" s="640" t="s">
        <v>14</v>
      </c>
      <c r="AC212" s="107">
        <f t="shared" si="29"/>
        <v>1</v>
      </c>
      <c r="AD212" s="3" t="e">
        <f>VLOOKUP(K212,'Assessment Details'!$O$45:$P$48,2,FALSE)</f>
        <v>#N/A</v>
      </c>
      <c r="AE212" s="3" t="e">
        <f>VLOOKUP(R212,'Assessment Details'!$O$45:$P$48,2,FALSE)</f>
        <v>#N/A</v>
      </c>
      <c r="AF212" s="3" t="e">
        <f>VLOOKUP(Y212,'Assessment Details'!$O$45:$P$48,2,FALSE)</f>
        <v>#N/A</v>
      </c>
      <c r="AI212" s="70"/>
      <c r="AJ212" s="671" t="s">
        <v>338</v>
      </c>
      <c r="AK212" s="70"/>
      <c r="AL212" s="70"/>
      <c r="AM212" s="70"/>
      <c r="AN212" s="70"/>
      <c r="AO212" s="70"/>
      <c r="AP212" s="70"/>
      <c r="AS212" s="23" t="str">
        <f t="shared" si="24"/>
        <v>N/A</v>
      </c>
      <c r="AT212" s="23" t="str">
        <f t="shared" si="25"/>
        <v>N/A</v>
      </c>
      <c r="AU212" s="23" t="str">
        <f t="shared" si="26"/>
        <v>N/A</v>
      </c>
      <c r="AV212" s="23"/>
      <c r="AW212" s="23"/>
      <c r="AX212" s="23"/>
      <c r="AZ212" s="640"/>
    </row>
    <row r="213" spans="1:52" x14ac:dyDescent="0.25">
      <c r="A213" s="1077">
        <v>204</v>
      </c>
      <c r="B213" s="1078" t="s">
        <v>826</v>
      </c>
      <c r="C213" s="1091" t="s">
        <v>826</v>
      </c>
      <c r="D213" s="824" t="s">
        <v>193</v>
      </c>
      <c r="E213" s="318" t="str">
        <f>VLOOKUP(D213,Poeng!$B$10:$R$252,Poeng!E$1,FALSE)</f>
        <v>Inn 03 - Hea 02: Emissions from construction products</v>
      </c>
      <c r="F213" s="122">
        <f>Inn03_credits</f>
        <v>1</v>
      </c>
      <c r="G213" s="43"/>
      <c r="H213" s="123">
        <f>Inn03_cont</f>
        <v>0</v>
      </c>
      <c r="I213" s="129" t="str">
        <f>Inn03_minstd</f>
        <v>N/A</v>
      </c>
      <c r="J213" s="80"/>
      <c r="K213" s="281"/>
      <c r="L213" s="738"/>
      <c r="M213" s="816"/>
      <c r="N213" s="83"/>
      <c r="O213" s="123">
        <f>VLOOKUP(D213,Poeng!$B$10:$BC$252,Poeng!AF$1,FALSE)</f>
        <v>0</v>
      </c>
      <c r="P213" s="123" t="str">
        <f>VLOOKUP(D213,Poeng!$B$10:$BH$252,Poeng!BH$1,FALSE)</f>
        <v>N/A</v>
      </c>
      <c r="Q213" s="744"/>
      <c r="R213" s="745"/>
      <c r="S213" s="738"/>
      <c r="T213" s="319"/>
      <c r="U213" s="83"/>
      <c r="V213" s="123">
        <f>VLOOKUP(D213,Poeng!$B$10:$BC$252,Poeng!AG$1,FALSE)</f>
        <v>0</v>
      </c>
      <c r="W213" s="123" t="str">
        <f>VLOOKUP(D213,Poeng!$B$10:$BK$252,Poeng!BK$1,FALSE)</f>
        <v>N/A</v>
      </c>
      <c r="X213" s="81"/>
      <c r="Y213" s="80"/>
      <c r="Z213" s="738"/>
      <c r="AA213" s="133"/>
      <c r="AB213" s="640" t="s">
        <v>14</v>
      </c>
      <c r="AC213" s="107">
        <f t="shared" si="29"/>
        <v>1</v>
      </c>
      <c r="AD213" s="3" t="e">
        <f>VLOOKUP(K213,'Assessment Details'!$O$45:$P$48,2,FALSE)</f>
        <v>#N/A</v>
      </c>
      <c r="AE213" s="3" t="e">
        <f>VLOOKUP(R213,'Assessment Details'!$O$45:$P$48,2,FALSE)</f>
        <v>#N/A</v>
      </c>
      <c r="AF213" s="3" t="e">
        <f>VLOOKUP(Y213,'Assessment Details'!$O$45:$P$48,2,FALSE)</f>
        <v>#N/A</v>
      </c>
      <c r="AI213" s="70"/>
      <c r="AJ213" s="671" t="s">
        <v>339</v>
      </c>
      <c r="AK213" s="70"/>
      <c r="AL213" s="70"/>
      <c r="AM213" s="70"/>
      <c r="AN213" s="70"/>
      <c r="AO213" s="70"/>
      <c r="AP213" s="70"/>
      <c r="AS213" s="23" t="str">
        <f t="shared" si="24"/>
        <v>N/A</v>
      </c>
      <c r="AT213" s="23" t="str">
        <f t="shared" si="25"/>
        <v>N/A</v>
      </c>
      <c r="AU213" s="23" t="str">
        <f t="shared" si="26"/>
        <v>N/A</v>
      </c>
      <c r="AV213" s="23"/>
      <c r="AW213" s="23"/>
      <c r="AX213" s="23"/>
      <c r="AZ213" s="640"/>
    </row>
    <row r="214" spans="1:52" x14ac:dyDescent="0.25">
      <c r="A214" s="1077">
        <v>205</v>
      </c>
      <c r="B214" s="1078" t="s">
        <v>826</v>
      </c>
      <c r="C214" s="1091" t="s">
        <v>826</v>
      </c>
      <c r="D214" s="824" t="s">
        <v>194</v>
      </c>
      <c r="E214" s="318" t="str">
        <f>VLOOKUP(D214,Poeng!$B$10:$R$252,Poeng!E$1,FALSE)</f>
        <v xml:space="preserve">Inn 04 - Hea 06: Biofilik design </v>
      </c>
      <c r="F214" s="122">
        <f>Inn04_credits</f>
        <v>1</v>
      </c>
      <c r="G214" s="43"/>
      <c r="H214" s="123">
        <f>Inn04_cont</f>
        <v>0</v>
      </c>
      <c r="I214" s="129" t="str">
        <f>Inn04_minstd</f>
        <v>N/A</v>
      </c>
      <c r="J214" s="80"/>
      <c r="K214" s="281"/>
      <c r="L214" s="738"/>
      <c r="M214" s="816"/>
      <c r="N214" s="83"/>
      <c r="O214" s="123">
        <f>VLOOKUP(D214,Poeng!$B$10:$BC$252,Poeng!AF$1,FALSE)</f>
        <v>0</v>
      </c>
      <c r="P214" s="123" t="str">
        <f>VLOOKUP(D214,Poeng!$B$10:$BH$252,Poeng!BH$1,FALSE)</f>
        <v>N/A</v>
      </c>
      <c r="Q214" s="744"/>
      <c r="R214" s="745"/>
      <c r="S214" s="738"/>
      <c r="T214" s="319"/>
      <c r="U214" s="83"/>
      <c r="V214" s="123">
        <f>VLOOKUP(D214,Poeng!$B$10:$BC$252,Poeng!AG$1,FALSE)</f>
        <v>0</v>
      </c>
      <c r="W214" s="123" t="str">
        <f>VLOOKUP(D214,Poeng!$B$10:$BK$252,Poeng!BK$1,FALSE)</f>
        <v>N/A</v>
      </c>
      <c r="X214" s="81"/>
      <c r="Y214" s="80"/>
      <c r="Z214" s="738"/>
      <c r="AA214" s="133"/>
      <c r="AB214" s="640" t="s">
        <v>14</v>
      </c>
      <c r="AC214" s="107">
        <f t="shared" si="29"/>
        <v>1</v>
      </c>
      <c r="AD214" s="3" t="e">
        <f>VLOOKUP(K214,'Assessment Details'!$O$45:$P$48,2,FALSE)</f>
        <v>#N/A</v>
      </c>
      <c r="AE214" s="3" t="e">
        <f>VLOOKUP(R214,'Assessment Details'!$O$45:$P$48,2,FALSE)</f>
        <v>#N/A</v>
      </c>
      <c r="AF214" s="3" t="e">
        <f>VLOOKUP(Y214,'Assessment Details'!$O$45:$P$48,2,FALSE)</f>
        <v>#N/A</v>
      </c>
      <c r="AI214" s="70"/>
      <c r="AJ214" s="671" t="s">
        <v>340</v>
      </c>
      <c r="AK214" s="70"/>
      <c r="AL214" s="70"/>
      <c r="AM214" s="70"/>
      <c r="AN214" s="70"/>
      <c r="AO214" s="70"/>
      <c r="AP214" s="70"/>
      <c r="AS214" s="23" t="str">
        <f t="shared" si="24"/>
        <v>N/A</v>
      </c>
      <c r="AT214" s="23" t="str">
        <f t="shared" si="25"/>
        <v>N/A</v>
      </c>
      <c r="AU214" s="23" t="str">
        <f t="shared" si="26"/>
        <v>N/A</v>
      </c>
      <c r="AV214" s="23"/>
      <c r="AW214" s="23"/>
      <c r="AX214" s="23"/>
      <c r="AZ214" s="640"/>
    </row>
    <row r="215" spans="1:52" x14ac:dyDescent="0.25">
      <c r="A215" s="1077">
        <v>206</v>
      </c>
      <c r="B215" s="1078" t="s">
        <v>826</v>
      </c>
      <c r="C215" s="1091" t="s">
        <v>826</v>
      </c>
      <c r="D215" s="824" t="s">
        <v>195</v>
      </c>
      <c r="E215" s="318" t="str">
        <f>VLOOKUP(D215,Poeng!$B$10:$R$252,Poeng!E$1,FALSE)</f>
        <v xml:space="preserve">Inn 05 - Ene 01: Post-occupancy stage </v>
      </c>
      <c r="F215" s="122">
        <f>Inn05_credits</f>
        <v>2</v>
      </c>
      <c r="G215" s="43"/>
      <c r="H215" s="123">
        <f>Inn05_cont</f>
        <v>0</v>
      </c>
      <c r="I215" s="129" t="str">
        <f>Inn05_minstd</f>
        <v>N/A</v>
      </c>
      <c r="J215" s="80"/>
      <c r="K215" s="281"/>
      <c r="L215" s="738"/>
      <c r="M215" s="816"/>
      <c r="N215" s="83"/>
      <c r="O215" s="123">
        <f>VLOOKUP(D215,Poeng!$B$10:$BC$252,Poeng!AF$1,FALSE)</f>
        <v>0</v>
      </c>
      <c r="P215" s="123" t="str">
        <f>VLOOKUP(D215,Poeng!$B$10:$BH$252,Poeng!BH$1,FALSE)</f>
        <v>N/A</v>
      </c>
      <c r="Q215" s="744"/>
      <c r="R215" s="745"/>
      <c r="S215" s="738"/>
      <c r="T215" s="319"/>
      <c r="U215" s="83"/>
      <c r="V215" s="123">
        <f>VLOOKUP(D215,Poeng!$B$10:$BC$252,Poeng!AG$1,FALSE)</f>
        <v>0</v>
      </c>
      <c r="W215" s="123" t="str">
        <f>VLOOKUP(D215,Poeng!$B$10:$BK$252,Poeng!BK$1,FALSE)</f>
        <v>N/A</v>
      </c>
      <c r="X215" s="81"/>
      <c r="Y215" s="80"/>
      <c r="Z215" s="738"/>
      <c r="AA215" s="133"/>
      <c r="AB215" s="640" t="s">
        <v>14</v>
      </c>
      <c r="AC215" s="107">
        <f t="shared" si="29"/>
        <v>1</v>
      </c>
      <c r="AD215" s="3" t="e">
        <f>VLOOKUP(K215,'Assessment Details'!$O$45:$P$48,2,FALSE)</f>
        <v>#N/A</v>
      </c>
      <c r="AE215" s="3" t="e">
        <f>VLOOKUP(R215,'Assessment Details'!$O$45:$P$48,2,FALSE)</f>
        <v>#N/A</v>
      </c>
      <c r="AF215" s="3" t="e">
        <f>VLOOKUP(Y215,'Assessment Details'!$O$45:$P$48,2,FALSE)</f>
        <v>#N/A</v>
      </c>
      <c r="AI215" s="70"/>
      <c r="AJ215" s="671" t="s">
        <v>250</v>
      </c>
      <c r="AK215" s="70"/>
      <c r="AL215" s="70"/>
      <c r="AM215" s="70"/>
      <c r="AN215" s="70"/>
      <c r="AO215" s="70"/>
      <c r="AP215" s="70"/>
      <c r="AS215" s="23" t="str">
        <f t="shared" si="24"/>
        <v>N/A</v>
      </c>
      <c r="AT215" s="23" t="str">
        <f t="shared" si="25"/>
        <v>N/A</v>
      </c>
      <c r="AU215" s="23" t="str">
        <f t="shared" si="26"/>
        <v>N/A</v>
      </c>
      <c r="AV215" s="23"/>
      <c r="AW215" s="23"/>
      <c r="AX215" s="23"/>
      <c r="AZ215" s="640"/>
    </row>
    <row r="216" spans="1:52" x14ac:dyDescent="0.25">
      <c r="A216" s="1077">
        <v>207</v>
      </c>
      <c r="B216" s="1078" t="s">
        <v>826</v>
      </c>
      <c r="C216" s="1091" t="s">
        <v>826</v>
      </c>
      <c r="D216" s="824" t="s">
        <v>196</v>
      </c>
      <c r="E216" s="318" t="str">
        <f>VLOOKUP(D216,Poeng!$B$10:$R$252,Poeng!E$1,FALSE)</f>
        <v xml:space="preserve">Inn 06 - Ene 01: Plus house </v>
      </c>
      <c r="F216" s="122">
        <f>Inn06_credits</f>
        <v>1</v>
      </c>
      <c r="G216" s="43"/>
      <c r="H216" s="123">
        <f>Inn06_cont</f>
        <v>0</v>
      </c>
      <c r="I216" s="129" t="str">
        <f>Inn06_minstd</f>
        <v>N/A</v>
      </c>
      <c r="J216" s="80"/>
      <c r="K216" s="281"/>
      <c r="L216" s="738"/>
      <c r="M216" s="816"/>
      <c r="N216" s="83"/>
      <c r="O216" s="123">
        <f>VLOOKUP(D216,Poeng!$B$10:$BC$252,Poeng!AF$1,FALSE)</f>
        <v>0</v>
      </c>
      <c r="P216" s="123" t="str">
        <f>VLOOKUP(D216,Poeng!$B$10:$BH$252,Poeng!BH$1,FALSE)</f>
        <v>N/A</v>
      </c>
      <c r="Q216" s="744"/>
      <c r="R216" s="745"/>
      <c r="S216" s="738"/>
      <c r="T216" s="319"/>
      <c r="U216" s="83"/>
      <c r="V216" s="123">
        <f>VLOOKUP(D216,Poeng!$B$10:$BC$252,Poeng!AG$1,FALSE)</f>
        <v>0</v>
      </c>
      <c r="W216" s="123" t="str">
        <f>VLOOKUP(D216,Poeng!$B$10:$BK$252,Poeng!BK$1,FALSE)</f>
        <v>N/A</v>
      </c>
      <c r="X216" s="81"/>
      <c r="Y216" s="80"/>
      <c r="Z216" s="738"/>
      <c r="AA216" s="133"/>
      <c r="AB216" s="640" t="s">
        <v>14</v>
      </c>
      <c r="AC216" s="107">
        <f t="shared" si="29"/>
        <v>1</v>
      </c>
      <c r="AD216" s="3" t="e">
        <f>VLOOKUP(K216,'Assessment Details'!$O$45:$P$48,2,FALSE)</f>
        <v>#N/A</v>
      </c>
      <c r="AE216" s="3" t="e">
        <f>VLOOKUP(R216,'Assessment Details'!$O$45:$P$48,2,FALSE)</f>
        <v>#N/A</v>
      </c>
      <c r="AF216" s="3" t="e">
        <f>VLOOKUP(Y216,'Assessment Details'!$O$45:$P$48,2,FALSE)</f>
        <v>#N/A</v>
      </c>
      <c r="AI216" s="70"/>
      <c r="AJ216" s="671" t="s">
        <v>251</v>
      </c>
      <c r="AK216" s="70"/>
      <c r="AL216" s="70"/>
      <c r="AM216" s="70"/>
      <c r="AN216" s="70"/>
      <c r="AO216" s="70"/>
      <c r="AP216" s="70"/>
      <c r="AS216" s="23" t="str">
        <f t="shared" si="24"/>
        <v>N/A</v>
      </c>
      <c r="AT216" s="23" t="str">
        <f t="shared" si="25"/>
        <v>N/A</v>
      </c>
      <c r="AU216" s="23" t="str">
        <f t="shared" si="26"/>
        <v>N/A</v>
      </c>
      <c r="AV216" s="23"/>
      <c r="AW216" s="23"/>
      <c r="AX216" s="23"/>
      <c r="AZ216" s="640"/>
    </row>
    <row r="217" spans="1:52" x14ac:dyDescent="0.25">
      <c r="A217" s="1077">
        <v>208</v>
      </c>
      <c r="B217" s="1078" t="s">
        <v>826</v>
      </c>
      <c r="C217" s="1091" t="s">
        <v>826</v>
      </c>
      <c r="D217" s="824" t="s">
        <v>197</v>
      </c>
      <c r="E217" s="318" t="str">
        <f>VLOOKUP(D217,Poeng!$B$10:$R$252,Poeng!E$1,FALSE)</f>
        <v>Inn 07 - Wat 01: Highly water efficient components</v>
      </c>
      <c r="F217" s="122">
        <f>Inn07_credits</f>
        <v>1</v>
      </c>
      <c r="G217" s="43"/>
      <c r="H217" s="123">
        <f>Inn07_cont</f>
        <v>0</v>
      </c>
      <c r="I217" s="129" t="str">
        <f>Inn07_minstd</f>
        <v>N/A</v>
      </c>
      <c r="J217" s="80"/>
      <c r="K217" s="281"/>
      <c r="L217" s="738"/>
      <c r="M217" s="816"/>
      <c r="N217" s="83"/>
      <c r="O217" s="123">
        <f>VLOOKUP(D217,Poeng!$B$10:$BC$252,Poeng!AF$1,FALSE)</f>
        <v>0</v>
      </c>
      <c r="P217" s="123" t="str">
        <f>VLOOKUP(D217,Poeng!$B$10:$BH$252,Poeng!BH$1,FALSE)</f>
        <v>N/A</v>
      </c>
      <c r="Q217" s="744"/>
      <c r="R217" s="745"/>
      <c r="S217" s="738"/>
      <c r="T217" s="319"/>
      <c r="U217" s="83"/>
      <c r="V217" s="123">
        <f>VLOOKUP(D217,Poeng!$B$10:$BC$252,Poeng!AG$1,FALSE)</f>
        <v>0</v>
      </c>
      <c r="W217" s="123" t="str">
        <f>VLOOKUP(D217,Poeng!$B$10:$BK$252,Poeng!BK$1,FALSE)</f>
        <v>N/A</v>
      </c>
      <c r="X217" s="81"/>
      <c r="Y217" s="80"/>
      <c r="Z217" s="738"/>
      <c r="AA217" s="133"/>
      <c r="AB217" s="640" t="s">
        <v>14</v>
      </c>
      <c r="AC217" s="107">
        <f t="shared" si="29"/>
        <v>1</v>
      </c>
      <c r="AD217" s="3" t="e">
        <f>VLOOKUP(K217,'Assessment Details'!$O$45:$P$48,2,FALSE)</f>
        <v>#N/A</v>
      </c>
      <c r="AE217" s="3" t="e">
        <f>VLOOKUP(R217,'Assessment Details'!$O$45:$P$48,2,FALSE)</f>
        <v>#N/A</v>
      </c>
      <c r="AF217" s="3" t="e">
        <f>VLOOKUP(Y217,'Assessment Details'!$O$45:$P$48,2,FALSE)</f>
        <v>#N/A</v>
      </c>
      <c r="AI217" s="70"/>
      <c r="AJ217" s="671" t="s">
        <v>341</v>
      </c>
      <c r="AK217" s="70"/>
      <c r="AL217" s="70"/>
      <c r="AM217" s="70"/>
      <c r="AN217" s="70"/>
      <c r="AO217" s="70"/>
      <c r="AP217" s="70"/>
      <c r="AS217" s="23" t="str">
        <f t="shared" si="24"/>
        <v>N/A</v>
      </c>
      <c r="AT217" s="23" t="str">
        <f t="shared" si="25"/>
        <v>N/A</v>
      </c>
      <c r="AU217" s="23" t="str">
        <f t="shared" si="26"/>
        <v>N/A</v>
      </c>
      <c r="AV217" s="23"/>
      <c r="AW217" s="23"/>
      <c r="AX217" s="23"/>
      <c r="AZ217" s="640"/>
    </row>
    <row r="218" spans="1:52" x14ac:dyDescent="0.25">
      <c r="A218" s="1077">
        <v>209</v>
      </c>
      <c r="B218" s="1078" t="s">
        <v>826</v>
      </c>
      <c r="C218" s="1091" t="s">
        <v>826</v>
      </c>
      <c r="D218" s="824" t="s">
        <v>225</v>
      </c>
      <c r="E218" s="318" t="str">
        <f>VLOOKUP(D218,Poeng!$B$10:$R$252,Poeng!E$1,FALSE)</f>
        <v xml:space="preserve">Inn 08 - Mat 01: 60% reduction of greenhouse gas emission </v>
      </c>
      <c r="F218" s="122">
        <f>Inn08_credits</f>
        <v>1</v>
      </c>
      <c r="G218" s="43"/>
      <c r="H218" s="123">
        <f>Inn08_cont</f>
        <v>0</v>
      </c>
      <c r="I218" s="129" t="str">
        <f>Inn08_minstd</f>
        <v>N/A</v>
      </c>
      <c r="J218" s="80"/>
      <c r="K218" s="281"/>
      <c r="L218" s="738"/>
      <c r="M218" s="816"/>
      <c r="N218" s="83"/>
      <c r="O218" s="123">
        <f>VLOOKUP(D218,Poeng!$B$10:$BC$252,Poeng!AF$1,FALSE)</f>
        <v>0</v>
      </c>
      <c r="P218" s="123" t="str">
        <f>VLOOKUP(D218,Poeng!$B$10:$BH$252,Poeng!BH$1,FALSE)</f>
        <v>N/A</v>
      </c>
      <c r="Q218" s="744"/>
      <c r="R218" s="745"/>
      <c r="S218" s="738"/>
      <c r="T218" s="319"/>
      <c r="U218" s="83"/>
      <c r="V218" s="123">
        <f>VLOOKUP(D218,Poeng!$B$10:$BC$252,Poeng!AG$1,FALSE)</f>
        <v>0</v>
      </c>
      <c r="W218" s="123" t="str">
        <f>VLOOKUP(D218,Poeng!$B$10:$BK$252,Poeng!BK$1,FALSE)</f>
        <v>N/A</v>
      </c>
      <c r="X218" s="81"/>
      <c r="Y218" s="80"/>
      <c r="Z218" s="738"/>
      <c r="AA218" s="133"/>
      <c r="AB218" s="640" t="s">
        <v>14</v>
      </c>
      <c r="AC218" s="107">
        <f t="shared" si="29"/>
        <v>1</v>
      </c>
      <c r="AD218" s="3" t="e">
        <f>VLOOKUP(K218,'Assessment Details'!$O$45:$P$48,2,FALSE)</f>
        <v>#N/A</v>
      </c>
      <c r="AE218" s="3" t="e">
        <f>VLOOKUP(R218,'Assessment Details'!$O$45:$P$48,2,FALSE)</f>
        <v>#N/A</v>
      </c>
      <c r="AF218" s="3" t="e">
        <f>VLOOKUP(Y218,'Assessment Details'!$O$45:$P$48,2,FALSE)</f>
        <v>#N/A</v>
      </c>
      <c r="AI218" s="70"/>
      <c r="AJ218" s="671" t="s">
        <v>403</v>
      </c>
      <c r="AK218" s="70"/>
      <c r="AL218" s="70"/>
      <c r="AM218" s="70"/>
      <c r="AN218" s="70"/>
      <c r="AO218" s="70"/>
      <c r="AP218" s="70"/>
      <c r="AS218" s="23" t="str">
        <f t="shared" si="24"/>
        <v>N/A</v>
      </c>
      <c r="AT218" s="23" t="str">
        <f t="shared" si="25"/>
        <v>N/A</v>
      </c>
      <c r="AU218" s="23" t="str">
        <f t="shared" si="26"/>
        <v>N/A</v>
      </c>
      <c r="AV218" s="23"/>
      <c r="AW218" s="23"/>
      <c r="AX218" s="23"/>
      <c r="AZ218" s="640"/>
    </row>
    <row r="219" spans="1:52" ht="34.5" customHeight="1" x14ac:dyDescent="0.25">
      <c r="A219" s="1077">
        <v>210</v>
      </c>
      <c r="B219" s="1078" t="s">
        <v>826</v>
      </c>
      <c r="C219" s="1092" t="s">
        <v>826</v>
      </c>
      <c r="D219" s="824" t="s">
        <v>255</v>
      </c>
      <c r="E219" s="340" t="str">
        <f>VLOOKUP(D219,Poeng!$B$10:$R$252,Poeng!E$1,FALSE)</f>
        <v>Inn 09 - Mat 06: FutureBuilt criteria set for circular buildings, point 2.3 reuse of building components</v>
      </c>
      <c r="F219" s="122">
        <f>Inn09_credits</f>
        <v>1</v>
      </c>
      <c r="G219" s="43"/>
      <c r="H219" s="123">
        <f>Inn09_cont</f>
        <v>0</v>
      </c>
      <c r="I219" s="129" t="str">
        <f>Inn09_minstd</f>
        <v>N/A</v>
      </c>
      <c r="J219" s="80"/>
      <c r="K219" s="281"/>
      <c r="L219" s="738"/>
      <c r="M219" s="816"/>
      <c r="N219" s="83"/>
      <c r="O219" s="123">
        <f>VLOOKUP(D219,Poeng!$B$10:$BC$252,Poeng!AF$1,FALSE)</f>
        <v>0</v>
      </c>
      <c r="P219" s="123" t="str">
        <f>VLOOKUP(D219,Poeng!$B$10:$BH$252,Poeng!BH$1,FALSE)</f>
        <v>N/A</v>
      </c>
      <c r="Q219" s="744"/>
      <c r="R219" s="745"/>
      <c r="S219" s="738"/>
      <c r="T219" s="319"/>
      <c r="U219" s="83"/>
      <c r="V219" s="123">
        <f>VLOOKUP(D219,Poeng!$B$10:$BC$252,Poeng!AG$1,FALSE)</f>
        <v>0</v>
      </c>
      <c r="W219" s="123" t="str">
        <f>VLOOKUP(D219,Poeng!$B$10:$BK$252,Poeng!BK$1,FALSE)</f>
        <v>N/A</v>
      </c>
      <c r="X219" s="81"/>
      <c r="Y219" s="80"/>
      <c r="Z219" s="738"/>
      <c r="AA219" s="133"/>
      <c r="AB219" s="640" t="s">
        <v>14</v>
      </c>
      <c r="AC219" s="107">
        <f t="shared" si="29"/>
        <v>1</v>
      </c>
      <c r="AD219" s="3" t="e">
        <f>VLOOKUP(K219,'Assessment Details'!$O$45:$P$48,2,FALSE)</f>
        <v>#N/A</v>
      </c>
      <c r="AE219" s="3" t="e">
        <f>VLOOKUP(R219,'Assessment Details'!$O$45:$P$48,2,FALSE)</f>
        <v>#N/A</v>
      </c>
      <c r="AF219" s="3" t="e">
        <f>VLOOKUP(Y219,'Assessment Details'!$O$45:$P$48,2,FALSE)</f>
        <v>#N/A</v>
      </c>
      <c r="AI219" s="70"/>
      <c r="AJ219" s="671" t="s">
        <v>342</v>
      </c>
      <c r="AK219" s="70"/>
      <c r="AL219" s="70"/>
      <c r="AM219" s="70"/>
      <c r="AN219" s="70"/>
      <c r="AO219" s="70"/>
      <c r="AP219" s="70"/>
      <c r="AS219" s="23" t="str">
        <f t="shared" si="24"/>
        <v>N/A</v>
      </c>
      <c r="AT219" s="23" t="str">
        <f t="shared" si="25"/>
        <v>N/A</v>
      </c>
      <c r="AU219" s="23" t="str">
        <f t="shared" si="26"/>
        <v>N/A</v>
      </c>
      <c r="AV219" s="23"/>
      <c r="AW219" s="23"/>
      <c r="AX219" s="23"/>
      <c r="AZ219" s="640"/>
    </row>
    <row r="220" spans="1:52" x14ac:dyDescent="0.25">
      <c r="A220" s="1077">
        <v>211</v>
      </c>
      <c r="B220" s="1078" t="s">
        <v>826</v>
      </c>
      <c r="C220" s="1091" t="s">
        <v>826</v>
      </c>
      <c r="D220" s="824" t="s">
        <v>475</v>
      </c>
      <c r="E220" s="318" t="str">
        <f>VLOOKUP(D220,Poeng!$B$10:$R$252,Poeng!E$1,FALSE)</f>
        <v xml:space="preserve">Inn 10 - Wst 01: Especially low amount of construction waste </v>
      </c>
      <c r="F220" s="713">
        <f>Inn10_credits</f>
        <v>1</v>
      </c>
      <c r="G220" s="43"/>
      <c r="H220" s="123">
        <f>Inn10_cont</f>
        <v>0</v>
      </c>
      <c r="I220" s="129" t="str">
        <f>Inn10_minstd</f>
        <v>N/A</v>
      </c>
      <c r="J220" s="80"/>
      <c r="K220" s="281"/>
      <c r="L220" s="738"/>
      <c r="M220" s="816"/>
      <c r="N220" s="83"/>
      <c r="O220" s="123">
        <f>VLOOKUP(D220,Poeng!$B$10:$BC$252,Poeng!AF$1,FALSE)</f>
        <v>0</v>
      </c>
      <c r="P220" s="123" t="str">
        <f>VLOOKUP(D220,Poeng!$B$10:$BH$252,Poeng!BH$1,FALSE)</f>
        <v>N/A</v>
      </c>
      <c r="Q220" s="744"/>
      <c r="R220" s="745"/>
      <c r="S220" s="738"/>
      <c r="T220" s="319"/>
      <c r="U220" s="83"/>
      <c r="V220" s="123">
        <f>VLOOKUP(D220,Poeng!$B$10:$BC$252,Poeng!AG$1,FALSE)</f>
        <v>0</v>
      </c>
      <c r="W220" s="123" t="str">
        <f>VLOOKUP(D220,Poeng!$B$10:$BK$252,Poeng!BK$1,FALSE)</f>
        <v>N/A</v>
      </c>
      <c r="X220" s="81"/>
      <c r="Y220" s="80"/>
      <c r="Z220" s="738"/>
      <c r="AA220" s="133"/>
      <c r="AB220" s="714"/>
      <c r="AC220" s="107">
        <f t="shared" si="29"/>
        <v>1</v>
      </c>
      <c r="AD220" s="3" t="e">
        <f>VLOOKUP(K220,'Assessment Details'!$O$45:$P$48,2,FALSE)</f>
        <v>#N/A</v>
      </c>
      <c r="AE220" s="3" t="e">
        <f>VLOOKUP(R220,'Assessment Details'!$O$45:$P$48,2,FALSE)</f>
        <v>#N/A</v>
      </c>
      <c r="AF220" s="3" t="e">
        <f>VLOOKUP(Y220,'Assessment Details'!$O$45:$P$48,2,FALSE)</f>
        <v>#N/A</v>
      </c>
      <c r="AI220" s="70"/>
      <c r="AJ220" s="671"/>
      <c r="AK220" s="70"/>
      <c r="AL220" s="70"/>
      <c r="AM220" s="70"/>
      <c r="AN220" s="70"/>
      <c r="AO220" s="70"/>
      <c r="AP220" s="70"/>
      <c r="AS220" s="23"/>
      <c r="AT220" s="23"/>
      <c r="AU220" s="23"/>
      <c r="AV220" s="23"/>
      <c r="AW220" s="23"/>
      <c r="AX220" s="23"/>
      <c r="AZ220" s="714"/>
    </row>
    <row r="221" spans="1:52" x14ac:dyDescent="0.25">
      <c r="A221" s="1077">
        <v>212</v>
      </c>
      <c r="B221" s="1078" t="s">
        <v>826</v>
      </c>
      <c r="C221" s="1091" t="s">
        <v>826</v>
      </c>
      <c r="D221" s="824" t="s">
        <v>476</v>
      </c>
      <c r="E221" s="318" t="str">
        <f>VLOOKUP(D221,Poeng!$B$10:$R$252,Poeng!E$1,FALSE)</f>
        <v>Inn 11 - LE 02: Wider sustainability for the site</v>
      </c>
      <c r="F221" s="713">
        <f>Inn11_credits</f>
        <v>1</v>
      </c>
      <c r="G221" s="43"/>
      <c r="H221" s="123">
        <f>Inn11_cont</f>
        <v>0</v>
      </c>
      <c r="I221" s="129" t="str">
        <f>Inn11_minstd</f>
        <v>N/A</v>
      </c>
      <c r="J221" s="80"/>
      <c r="K221" s="281"/>
      <c r="L221" s="738"/>
      <c r="M221" s="816"/>
      <c r="N221" s="83"/>
      <c r="O221" s="123">
        <f>VLOOKUP(D221,Poeng!$B$10:$BC$252,Poeng!AF$1,FALSE)</f>
        <v>0</v>
      </c>
      <c r="P221" s="123" t="str">
        <f>VLOOKUP(D221,Poeng!$B$10:$BH$252,Poeng!BH$1,FALSE)</f>
        <v>N/A</v>
      </c>
      <c r="Q221" s="744"/>
      <c r="R221" s="745"/>
      <c r="S221" s="738"/>
      <c r="T221" s="319"/>
      <c r="U221" s="83"/>
      <c r="V221" s="123">
        <f>VLOOKUP(D221,Poeng!$B$10:$BC$252,Poeng!AG$1,FALSE)</f>
        <v>0</v>
      </c>
      <c r="W221" s="123" t="str">
        <f>VLOOKUP(D221,Poeng!$B$10:$BK$252,Poeng!BK$1,FALSE)</f>
        <v>N/A</v>
      </c>
      <c r="X221" s="81"/>
      <c r="Y221" s="80"/>
      <c r="Z221" s="738"/>
      <c r="AA221" s="133"/>
      <c r="AB221" s="714"/>
      <c r="AC221" s="107">
        <f t="shared" si="29"/>
        <v>1</v>
      </c>
      <c r="AD221" s="3" t="e">
        <f>VLOOKUP(K221,'Assessment Details'!$O$45:$P$48,2,FALSE)</f>
        <v>#N/A</v>
      </c>
      <c r="AE221" s="3" t="e">
        <f>VLOOKUP(R221,'Assessment Details'!$O$45:$P$48,2,FALSE)</f>
        <v>#N/A</v>
      </c>
      <c r="AF221" s="3" t="e">
        <f>VLOOKUP(Y221,'Assessment Details'!$O$45:$P$48,2,FALSE)</f>
        <v>#N/A</v>
      </c>
      <c r="AI221" s="70"/>
      <c r="AJ221" s="671"/>
      <c r="AK221" s="70"/>
      <c r="AL221" s="70"/>
      <c r="AM221" s="70"/>
      <c r="AN221" s="70"/>
      <c r="AO221" s="70"/>
      <c r="AP221" s="70"/>
      <c r="AS221" s="23"/>
      <c r="AT221" s="23"/>
      <c r="AU221" s="23"/>
      <c r="AV221" s="23"/>
      <c r="AW221" s="23"/>
      <c r="AX221" s="23"/>
      <c r="AZ221" s="714"/>
    </row>
    <row r="222" spans="1:52" x14ac:dyDescent="0.25">
      <c r="A222" s="1077">
        <v>213</v>
      </c>
      <c r="B222" s="1078" t="s">
        <v>826</v>
      </c>
      <c r="C222" s="1091" t="s">
        <v>826</v>
      </c>
      <c r="D222" s="824" t="s">
        <v>477</v>
      </c>
      <c r="E222" s="318" t="str">
        <f>VLOOKUP(D222,Poeng!$B$10:$R$252,Poeng!E$1,FALSE)</f>
        <v>Inn 12 - LE 04: Significant net gain of biodiversity</v>
      </c>
      <c r="F222" s="713">
        <f>Inn12_credits</f>
        <v>1</v>
      </c>
      <c r="G222" s="43"/>
      <c r="H222" s="123">
        <f>Inn12_cont</f>
        <v>0</v>
      </c>
      <c r="I222" s="129" t="str">
        <f>Inn12_minstd</f>
        <v>N/A</v>
      </c>
      <c r="J222" s="80"/>
      <c r="K222" s="281"/>
      <c r="L222" s="738"/>
      <c r="M222" s="816"/>
      <c r="N222" s="83"/>
      <c r="O222" s="123">
        <f>VLOOKUP(D222,Poeng!$B$10:$BC$252,Poeng!AF$1,FALSE)</f>
        <v>0</v>
      </c>
      <c r="P222" s="123" t="str">
        <f>VLOOKUP(D222,Poeng!$B$10:$BH$252,Poeng!BH$1,FALSE)</f>
        <v>N/A</v>
      </c>
      <c r="Q222" s="744"/>
      <c r="R222" s="745"/>
      <c r="S222" s="738"/>
      <c r="T222" s="319"/>
      <c r="U222" s="83"/>
      <c r="V222" s="123">
        <f>VLOOKUP(D222,Poeng!$B$10:$BC$252,Poeng!AG$1,FALSE)</f>
        <v>0</v>
      </c>
      <c r="W222" s="123" t="str">
        <f>VLOOKUP(D222,Poeng!$B$10:$BK$252,Poeng!BK$1,FALSE)</f>
        <v>N/A</v>
      </c>
      <c r="X222" s="81"/>
      <c r="Y222" s="80"/>
      <c r="Z222" s="738"/>
      <c r="AA222" s="133"/>
      <c r="AB222" s="714"/>
      <c r="AC222" s="107">
        <f t="shared" si="29"/>
        <v>1</v>
      </c>
      <c r="AD222" s="3" t="e">
        <f>VLOOKUP(K222,'Assessment Details'!$O$45:$P$48,2,FALSE)</f>
        <v>#N/A</v>
      </c>
      <c r="AE222" s="3" t="e">
        <f>VLOOKUP(R222,'Assessment Details'!$O$45:$P$48,2,FALSE)</f>
        <v>#N/A</v>
      </c>
      <c r="AF222" s="3" t="e">
        <f>VLOOKUP(Y222,'Assessment Details'!$O$45:$P$48,2,FALSE)</f>
        <v>#N/A</v>
      </c>
      <c r="AI222" s="70"/>
      <c r="AJ222" s="671"/>
      <c r="AK222" s="70"/>
      <c r="AL222" s="70"/>
      <c r="AM222" s="70"/>
      <c r="AN222" s="70"/>
      <c r="AO222" s="70"/>
      <c r="AP222" s="70"/>
      <c r="AS222" s="23"/>
      <c r="AT222" s="23"/>
      <c r="AU222" s="23"/>
      <c r="AV222" s="23"/>
      <c r="AW222" s="23"/>
      <c r="AX222" s="23"/>
      <c r="AZ222" s="714"/>
    </row>
    <row r="223" spans="1:52" x14ac:dyDescent="0.25">
      <c r="A223" s="1077">
        <v>214</v>
      </c>
      <c r="B223" s="1078" t="s">
        <v>826</v>
      </c>
      <c r="C223" s="1091" t="s">
        <v>826</v>
      </c>
      <c r="D223" s="824" t="s">
        <v>478</v>
      </c>
      <c r="E223" s="318" t="str">
        <f>VLOOKUP(D223,Poeng!$B$10:$R$252,Poeng!E$1,FALSE)</f>
        <v>Inn 13 - LE 06: Responding to climate change</v>
      </c>
      <c r="F223" s="713">
        <f>Inn13_credits</f>
        <v>1</v>
      </c>
      <c r="G223" s="43"/>
      <c r="H223" s="123">
        <f>Inn13_cont</f>
        <v>0</v>
      </c>
      <c r="I223" s="129" t="str">
        <f>Inn13_minstd</f>
        <v>N/A</v>
      </c>
      <c r="J223" s="80"/>
      <c r="K223" s="281"/>
      <c r="L223" s="738"/>
      <c r="M223" s="816"/>
      <c r="N223" s="83"/>
      <c r="O223" s="123">
        <f>VLOOKUP(D223,Poeng!$B$10:$BC$252,Poeng!AF$1,FALSE)</f>
        <v>0</v>
      </c>
      <c r="P223" s="123" t="str">
        <f>VLOOKUP(D223,Poeng!$B$10:$BH$252,Poeng!BH$1,FALSE)</f>
        <v>N/A</v>
      </c>
      <c r="Q223" s="744"/>
      <c r="R223" s="745"/>
      <c r="S223" s="738"/>
      <c r="T223" s="319"/>
      <c r="U223" s="83"/>
      <c r="V223" s="123">
        <f>VLOOKUP(D223,Poeng!$B$10:$BC$252,Poeng!AG$1,FALSE)</f>
        <v>0</v>
      </c>
      <c r="W223" s="123" t="str">
        <f>VLOOKUP(D223,Poeng!$B$10:$BK$252,Poeng!BK$1,FALSE)</f>
        <v>N/A</v>
      </c>
      <c r="X223" s="81"/>
      <c r="Y223" s="80"/>
      <c r="Z223" s="738"/>
      <c r="AA223" s="133"/>
      <c r="AB223" s="714"/>
      <c r="AC223" s="107">
        <f t="shared" si="29"/>
        <v>1</v>
      </c>
      <c r="AD223" s="3" t="e">
        <f>VLOOKUP(K223,'Assessment Details'!$O$45:$P$48,2,FALSE)</f>
        <v>#N/A</v>
      </c>
      <c r="AE223" s="3" t="e">
        <f>VLOOKUP(R223,'Assessment Details'!$O$45:$P$48,2,FALSE)</f>
        <v>#N/A</v>
      </c>
      <c r="AF223" s="3" t="e">
        <f>VLOOKUP(Y223,'Assessment Details'!$O$45:$P$48,2,FALSE)</f>
        <v>#N/A</v>
      </c>
      <c r="AI223" s="70"/>
      <c r="AJ223" s="671"/>
      <c r="AK223" s="70"/>
      <c r="AL223" s="70"/>
      <c r="AM223" s="70"/>
      <c r="AN223" s="70"/>
      <c r="AO223" s="70"/>
      <c r="AP223" s="70"/>
      <c r="AS223" s="23"/>
      <c r="AT223" s="23"/>
      <c r="AU223" s="23"/>
      <c r="AV223" s="23"/>
      <c r="AW223" s="23"/>
      <c r="AX223" s="23"/>
      <c r="AZ223" s="714"/>
    </row>
    <row r="224" spans="1:52" x14ac:dyDescent="0.25">
      <c r="A224" s="1077">
        <v>215</v>
      </c>
      <c r="B224" s="1078" t="s">
        <v>826</v>
      </c>
      <c r="C224" s="1081" t="s">
        <v>826</v>
      </c>
      <c r="D224" s="824" t="s">
        <v>699</v>
      </c>
      <c r="E224" s="318" t="str">
        <f>VLOOKUP(D224,Poeng!$B$10:$R$252,Poeng!E$1,FALSE)</f>
        <v>Inn 14 - LE 08: Wider approach to surface water management</v>
      </c>
      <c r="F224" s="713">
        <f>Poeng!AB230</f>
        <v>1</v>
      </c>
      <c r="G224" s="43"/>
      <c r="H224" s="862">
        <f>Poeng!AE230</f>
        <v>0</v>
      </c>
      <c r="I224" s="863" t="str">
        <f>Poeng!BE230</f>
        <v>N/A</v>
      </c>
      <c r="J224" s="80"/>
      <c r="K224" s="281"/>
      <c r="L224" s="738"/>
      <c r="M224" s="816"/>
      <c r="N224" s="83"/>
      <c r="O224" s="123">
        <f>VLOOKUP(D224,Poeng!$B$10:$BC$252,Poeng!AF$1,FALSE)</f>
        <v>0</v>
      </c>
      <c r="P224" s="123" t="str">
        <f>VLOOKUP(D224,Poeng!$B$10:$BH$252,Poeng!BH$1,FALSE)</f>
        <v>N/A</v>
      </c>
      <c r="Q224" s="744"/>
      <c r="R224" s="745"/>
      <c r="S224" s="738"/>
      <c r="T224" s="319"/>
      <c r="U224" s="83"/>
      <c r="V224" s="123">
        <f>VLOOKUP(D224,Poeng!$B$10:$BC$252,Poeng!AG$1,FALSE)</f>
        <v>0</v>
      </c>
      <c r="W224" s="123" t="str">
        <f>VLOOKUP(D224,Poeng!$B$10:$BK$252,Poeng!BK$1,FALSE)</f>
        <v>N/A</v>
      </c>
      <c r="X224" s="81"/>
      <c r="Y224" s="80"/>
      <c r="Z224" s="738"/>
      <c r="AA224" s="133"/>
      <c r="AB224" s="714"/>
      <c r="AC224" s="107">
        <f t="shared" si="29"/>
        <v>1</v>
      </c>
      <c r="AD224" s="3" t="e">
        <f>VLOOKUP(K224,'Assessment Details'!$O$45:$P$48,2,FALSE)</f>
        <v>#N/A</v>
      </c>
      <c r="AE224" s="3" t="e">
        <f>VLOOKUP(R224,'Assessment Details'!$O$45:$P$48,2,FALSE)</f>
        <v>#N/A</v>
      </c>
      <c r="AF224" s="3" t="e">
        <f>VLOOKUP(Y224,'Assessment Details'!$O$45:$P$48,2,FALSE)</f>
        <v>#N/A</v>
      </c>
      <c r="AI224" s="70"/>
      <c r="AJ224" s="671"/>
      <c r="AK224" s="70"/>
      <c r="AL224" s="70"/>
      <c r="AM224" s="70"/>
      <c r="AN224" s="70"/>
      <c r="AO224" s="70"/>
      <c r="AP224" s="70"/>
      <c r="AS224" s="23"/>
      <c r="AT224" s="23"/>
      <c r="AU224" s="23"/>
      <c r="AV224" s="23"/>
      <c r="AW224" s="23"/>
      <c r="AX224" s="23"/>
      <c r="AZ224" s="714"/>
    </row>
    <row r="225" spans="1:52" ht="15" customHeight="1" thickBot="1" x14ac:dyDescent="0.3">
      <c r="A225" s="1077">
        <v>216</v>
      </c>
      <c r="B225" s="1078" t="s">
        <v>826</v>
      </c>
      <c r="C225" s="1082" t="s">
        <v>826</v>
      </c>
      <c r="D225" s="824" t="s">
        <v>892</v>
      </c>
      <c r="E225" s="341" t="s">
        <v>85</v>
      </c>
      <c r="F225" s="125">
        <f>Inn_Credits</f>
        <v>10</v>
      </c>
      <c r="G225" s="131"/>
      <c r="H225" s="126">
        <f>Inn_cont_tot</f>
        <v>0</v>
      </c>
      <c r="I225" s="867" t="str">
        <f>"Credits achieved: "&amp;Inn_tot_user</f>
        <v>Credits achieved: 0</v>
      </c>
      <c r="J225" s="134"/>
      <c r="K225" s="282"/>
      <c r="L225" s="746"/>
      <c r="M225" s="816"/>
      <c r="N225" s="383"/>
      <c r="O225" s="126">
        <f>VLOOKUP(D225,Poeng!$B$10:$BC$252,Poeng!AF$1,FALSE)</f>
        <v>0</v>
      </c>
      <c r="P225" s="867" t="str">
        <f>"Credits achieved: "&amp;Inn_d_user</f>
        <v>Credits achieved: 0</v>
      </c>
      <c r="Q225" s="747"/>
      <c r="R225" s="748"/>
      <c r="S225" s="746"/>
      <c r="T225" s="319"/>
      <c r="U225" s="383"/>
      <c r="V225" s="126">
        <f>VLOOKUP(D225,Poeng!$B$10:$BC$252,Poeng!AG$1,FALSE)</f>
        <v>0</v>
      </c>
      <c r="W225" s="867" t="str">
        <f>"Credits achieved: "&amp;Inn_c_user</f>
        <v>Credits achieved: 0</v>
      </c>
      <c r="X225" s="382"/>
      <c r="Y225" s="136"/>
      <c r="Z225" s="756"/>
      <c r="AA225" s="133"/>
      <c r="AB225" s="641"/>
      <c r="AC225" s="107">
        <f t="shared" si="29"/>
        <v>1</v>
      </c>
      <c r="AD225" s="276">
        <v>0</v>
      </c>
      <c r="AE225" s="276">
        <v>0</v>
      </c>
      <c r="AF225" s="276">
        <v>0</v>
      </c>
      <c r="AI225" s="70"/>
      <c r="AJ225" s="671" t="s">
        <v>85</v>
      </c>
      <c r="AK225" s="70"/>
      <c r="AL225" s="70"/>
      <c r="AM225" s="70"/>
      <c r="AN225" s="70"/>
      <c r="AO225" s="70"/>
      <c r="AP225" s="70"/>
      <c r="AS225" s="23" t="str">
        <f t="shared" si="24"/>
        <v>N/A</v>
      </c>
      <c r="AT225" s="23" t="str">
        <f t="shared" si="25"/>
        <v>N/A</v>
      </c>
      <c r="AU225" s="23" t="str">
        <f t="shared" si="26"/>
        <v>N/A</v>
      </c>
      <c r="AV225" s="23"/>
      <c r="AW225" s="23"/>
      <c r="AX225" s="23"/>
      <c r="AZ225" s="641"/>
    </row>
    <row r="226" spans="1:52" x14ac:dyDescent="0.25">
      <c r="A226" s="1077"/>
      <c r="B226" s="1078"/>
      <c r="C226" s="1073"/>
      <c r="D226" s="824"/>
      <c r="E226" s="45"/>
      <c r="F226" s="3"/>
      <c r="G226" s="3"/>
      <c r="H226" s="3"/>
      <c r="I226" s="3"/>
      <c r="J226" s="45"/>
      <c r="K226" s="3"/>
      <c r="L226" s="757"/>
      <c r="M226" s="817"/>
      <c r="N226" s="586"/>
      <c r="O226" s="586"/>
      <c r="P226" s="3"/>
      <c r="Q226" s="27"/>
      <c r="R226" s="757"/>
      <c r="S226" s="757"/>
      <c r="T226" s="277"/>
      <c r="U226" s="279"/>
      <c r="V226" s="279"/>
      <c r="W226" s="3"/>
      <c r="X226" s="280"/>
      <c r="Y226" s="279"/>
      <c r="Z226" s="757"/>
      <c r="AA226" s="277"/>
      <c r="AB226" s="277"/>
      <c r="AC226" s="107"/>
      <c r="AD226" s="278"/>
      <c r="AE226" s="278"/>
      <c r="AF226" s="278"/>
      <c r="AJ226" s="3"/>
    </row>
    <row r="227" spans="1:52" x14ac:dyDescent="0.25">
      <c r="A227" s="1079"/>
      <c r="B227" s="1080"/>
      <c r="C227" s="825"/>
      <c r="D227" s="825"/>
      <c r="E227" s="31"/>
      <c r="M227" s="121"/>
      <c r="N227" s="820"/>
      <c r="O227" s="820"/>
      <c r="P227" s="820"/>
      <c r="Q227" s="758"/>
      <c r="R227" s="758"/>
      <c r="S227" s="759"/>
      <c r="T227" s="271"/>
      <c r="U227" s="8"/>
      <c r="V227" s="8"/>
      <c r="W227" s="820"/>
      <c r="X227" s="8"/>
      <c r="Y227" s="8"/>
      <c r="Z227" s="759"/>
      <c r="AA227" s="271"/>
      <c r="AB227" s="271"/>
      <c r="AC227" s="107"/>
      <c r="AD227" s="1"/>
      <c r="AE227" s="1"/>
      <c r="AF227" s="1"/>
      <c r="AJ227" s="3"/>
    </row>
    <row r="228" spans="1:52" x14ac:dyDescent="0.25">
      <c r="A228" s="1080"/>
      <c r="B228" s="1080"/>
      <c r="C228" s="825"/>
      <c r="D228" s="825"/>
      <c r="E228" s="286"/>
      <c r="F228" s="18"/>
      <c r="M228" s="121"/>
      <c r="N228" s="820"/>
      <c r="O228" s="820"/>
      <c r="P228" s="820"/>
      <c r="Q228" s="758"/>
      <c r="R228" s="758"/>
      <c r="S228" s="760"/>
      <c r="T228" s="271"/>
      <c r="U228" s="8"/>
      <c r="V228" s="8"/>
      <c r="W228" s="820"/>
      <c r="X228" s="8"/>
      <c r="Y228" s="8"/>
      <c r="Z228" s="760"/>
      <c r="AA228" s="271"/>
      <c r="AB228" s="271"/>
      <c r="AC228" s="107"/>
      <c r="AD228" s="1"/>
      <c r="AE228" s="1"/>
      <c r="AF228" s="1"/>
      <c r="AJ228" s="3"/>
    </row>
    <row r="229" spans="1:52" x14ac:dyDescent="0.25">
      <c r="D229" s="19"/>
      <c r="E229" s="31"/>
      <c r="F229" s="26"/>
      <c r="M229" s="121"/>
      <c r="N229" s="820"/>
      <c r="O229" s="820"/>
      <c r="P229" s="820"/>
      <c r="Q229" s="758"/>
      <c r="R229" s="758"/>
      <c r="S229" s="759"/>
      <c r="T229" s="271"/>
      <c r="U229" s="8"/>
      <c r="V229" s="8"/>
      <c r="W229" s="8"/>
      <c r="X229" s="8"/>
      <c r="Y229" s="8"/>
      <c r="Z229" s="759"/>
      <c r="AA229" s="271"/>
      <c r="AB229" s="271"/>
      <c r="AC229" s="107"/>
      <c r="AD229" s="1"/>
      <c r="AE229" s="1"/>
      <c r="AF229" s="1"/>
      <c r="AJ229" s="3"/>
    </row>
    <row r="230" spans="1:52" x14ac:dyDescent="0.25">
      <c r="D230" s="19"/>
      <c r="E230" s="32"/>
      <c r="F230" s="18"/>
      <c r="M230" s="121"/>
      <c r="N230" s="820"/>
      <c r="O230" s="820"/>
      <c r="P230" s="820"/>
      <c r="Q230" s="758"/>
      <c r="R230" s="758"/>
      <c r="S230" s="760"/>
      <c r="T230" s="271"/>
      <c r="U230" s="8"/>
      <c r="V230" s="8"/>
      <c r="W230" s="8"/>
      <c r="X230" s="8"/>
      <c r="Y230" s="8"/>
      <c r="Z230" s="760"/>
      <c r="AA230" s="271"/>
      <c r="AB230" s="271"/>
      <c r="AC230" s="107"/>
      <c r="AD230" s="1"/>
      <c r="AE230" s="1"/>
      <c r="AF230" s="1"/>
      <c r="AJ230" s="3"/>
    </row>
    <row r="231" spans="1:52" x14ac:dyDescent="0.25">
      <c r="D231" s="19"/>
      <c r="E231" s="31"/>
      <c r="F231" s="26"/>
      <c r="M231" s="121"/>
      <c r="N231" s="820"/>
      <c r="O231" s="820"/>
      <c r="P231" s="820"/>
      <c r="Q231" s="758"/>
      <c r="R231" s="758"/>
      <c r="S231" s="759"/>
      <c r="T231" s="271"/>
      <c r="U231" s="8"/>
      <c r="V231" s="8"/>
      <c r="W231" s="8"/>
      <c r="X231" s="8"/>
      <c r="Y231" s="8"/>
      <c r="Z231" s="759"/>
      <c r="AA231" s="271"/>
      <c r="AB231" s="271"/>
      <c r="AC231" s="107"/>
      <c r="AD231" s="27"/>
      <c r="AE231" s="27"/>
      <c r="AF231" s="27"/>
      <c r="AG231" s="27"/>
      <c r="AH231" s="27"/>
      <c r="AI231" s="27"/>
      <c r="AJ231" s="3"/>
      <c r="AY231" s="27"/>
      <c r="AZ231" s="27"/>
    </row>
    <row r="232" spans="1:52" x14ac:dyDescent="0.25">
      <c r="D232" s="19"/>
      <c r="M232" s="121"/>
      <c r="N232" s="820"/>
      <c r="O232" s="820"/>
      <c r="P232" s="820"/>
      <c r="Q232" s="758"/>
      <c r="R232" s="758"/>
      <c r="S232" s="758"/>
      <c r="T232" s="271"/>
      <c r="U232" s="8"/>
      <c r="V232" s="8"/>
      <c r="W232" s="8"/>
      <c r="X232" s="8"/>
      <c r="Y232" s="8"/>
      <c r="Z232" s="758"/>
      <c r="AA232" s="271"/>
      <c r="AB232" s="271"/>
      <c r="AC232" s="107"/>
      <c r="AD232" s="1"/>
      <c r="AE232" s="1"/>
      <c r="AF232" s="1"/>
      <c r="AJ232" s="27"/>
      <c r="AK232" s="27"/>
      <c r="AL232" s="27"/>
      <c r="AM232" s="27"/>
      <c r="AN232" s="27"/>
      <c r="AO232" s="27"/>
      <c r="AP232" s="27"/>
      <c r="AS232" s="27"/>
      <c r="AT232" s="27"/>
      <c r="AU232" s="27"/>
      <c r="AV232" s="27"/>
      <c r="AW232" s="27"/>
      <c r="AX232" s="27"/>
    </row>
    <row r="233" spans="1:52" x14ac:dyDescent="0.25">
      <c r="D233" s="19"/>
      <c r="M233" s="121"/>
      <c r="N233" s="820"/>
      <c r="O233" s="820"/>
      <c r="P233" s="820"/>
      <c r="Q233" s="758"/>
      <c r="R233" s="758"/>
      <c r="S233" s="758"/>
      <c r="T233" s="271"/>
      <c r="U233" s="8"/>
      <c r="V233" s="8"/>
      <c r="W233" s="8"/>
      <c r="X233" s="8"/>
      <c r="Y233" s="8"/>
      <c r="Z233" s="758"/>
      <c r="AA233" s="271"/>
      <c r="AB233" s="271"/>
      <c r="AC233" s="107"/>
      <c r="AD233" s="1"/>
      <c r="AE233" s="1"/>
      <c r="AF233" s="1"/>
      <c r="AJ233" s="3"/>
    </row>
    <row r="234" spans="1:52" x14ac:dyDescent="0.25">
      <c r="D234" s="19"/>
      <c r="M234" s="121"/>
      <c r="N234" s="820"/>
      <c r="O234" s="820"/>
      <c r="P234" s="820"/>
      <c r="Q234" s="758"/>
      <c r="R234" s="758"/>
      <c r="S234" s="758"/>
      <c r="T234" s="271"/>
      <c r="U234" s="8"/>
      <c r="V234" s="8"/>
      <c r="W234" s="8"/>
      <c r="X234" s="8"/>
      <c r="Y234" s="8"/>
      <c r="Z234" s="758"/>
      <c r="AA234" s="271"/>
      <c r="AB234" s="271"/>
      <c r="AC234" s="107"/>
      <c r="AD234" s="1"/>
      <c r="AE234" s="1"/>
      <c r="AF234" s="1"/>
      <c r="AJ234" s="3"/>
    </row>
    <row r="235" spans="1:52" hidden="1" x14ac:dyDescent="0.25">
      <c r="B235" s="824" t="s">
        <v>66</v>
      </c>
      <c r="C235" s="824"/>
      <c r="D235" s="824"/>
      <c r="E235" s="318" t="str">
        <f>Hea02_Crit1</f>
        <v xml:space="preserve">Pre-requisite: indoor air quality </v>
      </c>
      <c r="F235" s="122" t="str">
        <f>Hea02_Crit1_credits</f>
        <v>Yes/No</v>
      </c>
      <c r="G235" s="43"/>
      <c r="H235" s="123"/>
      <c r="I235" s="127" t="str">
        <f>Hea02_minst_crit</f>
        <v>Unclassified</v>
      </c>
      <c r="J235" s="80"/>
      <c r="K235" s="281" t="s">
        <v>297</v>
      </c>
      <c r="L235" s="738"/>
      <c r="M235" s="815"/>
      <c r="N235" s="83"/>
      <c r="O235" s="878"/>
      <c r="P235" s="878"/>
      <c r="Q235" s="744"/>
      <c r="R235" s="745"/>
      <c r="S235" s="738"/>
      <c r="T235" s="319"/>
      <c r="U235" s="83"/>
      <c r="V235" s="878"/>
      <c r="W235" s="878"/>
      <c r="X235" s="81"/>
      <c r="Y235" s="80"/>
      <c r="Z235" s="738"/>
      <c r="AA235" s="133"/>
      <c r="AB235" s="640" t="s">
        <v>14</v>
      </c>
      <c r="AC235" s="107">
        <f>AC46</f>
        <v>1</v>
      </c>
      <c r="AD235" s="3">
        <f>VLOOKUP(K235,'Assessment Details'!$O$45:$P$48,2,FALSE)</f>
        <v>3</v>
      </c>
      <c r="AE235" s="3" t="e">
        <f>VLOOKUP(R235,'Assessment Details'!$O$45:$P$48,2,FALSE)</f>
        <v>#N/A</v>
      </c>
      <c r="AF235" s="3" t="e">
        <f>VLOOKUP(Y235,'Assessment Details'!$O$45:$P$48,2,FALSE)</f>
        <v>#N/A</v>
      </c>
      <c r="AI235" s="70"/>
      <c r="AJ235" s="671" t="s">
        <v>263</v>
      </c>
      <c r="AK235" s="70"/>
      <c r="AL235" s="70"/>
      <c r="AM235" s="70"/>
      <c r="AN235" s="70"/>
      <c r="AO235" s="70"/>
      <c r="AP235" s="70"/>
      <c r="AS235" s="23" t="str">
        <f>IF($AJ$4=ais_nei,AIS_NA,IF(AK235="",AIS_NA,AK235))</f>
        <v>N/A</v>
      </c>
      <c r="AT235" s="23" t="str">
        <f>IF($AJ$4=ais_nei,AIS_NA,IF(AL235="",AIS_NA,AL235))</f>
        <v>N/A</v>
      </c>
      <c r="AU235" s="23" t="str">
        <f>IF($AJ$4=ais_nei,AIS_NA,IF(AM235="",AIS_NA,AM235))</f>
        <v>N/A</v>
      </c>
      <c r="AV235" s="23"/>
      <c r="AW235" s="23"/>
      <c r="AX235" s="23"/>
      <c r="AZ235" s="640"/>
    </row>
    <row r="236" spans="1:52" hidden="1" x14ac:dyDescent="0.25">
      <c r="D236" s="19"/>
      <c r="M236" s="121"/>
      <c r="N236" s="820"/>
      <c r="O236" s="820"/>
      <c r="P236" s="820"/>
      <c r="Q236" s="758"/>
      <c r="R236" s="758"/>
      <c r="S236" s="758"/>
      <c r="T236" s="271"/>
      <c r="U236" s="8"/>
      <c r="V236" s="8"/>
      <c r="W236" s="8"/>
      <c r="X236" s="8"/>
      <c r="Y236" s="8"/>
      <c r="Z236" s="758"/>
      <c r="AA236" s="271"/>
      <c r="AB236" s="271"/>
      <c r="AC236" s="107"/>
      <c r="AD236" s="1"/>
      <c r="AE236" s="1"/>
      <c r="AF236" s="1"/>
      <c r="AJ236" s="3"/>
    </row>
    <row r="237" spans="1:52" hidden="1" x14ac:dyDescent="0.25">
      <c r="D237" s="19"/>
      <c r="M237" s="121"/>
      <c r="N237" s="820"/>
      <c r="O237" s="820"/>
      <c r="P237" s="820"/>
      <c r="Q237" s="758"/>
      <c r="R237" s="758"/>
      <c r="S237" s="758"/>
      <c r="T237" s="271"/>
      <c r="U237" s="8"/>
      <c r="V237" s="8"/>
      <c r="W237" s="8"/>
      <c r="X237" s="8"/>
      <c r="Y237" s="8"/>
      <c r="Z237" s="758"/>
      <c r="AA237" s="271"/>
      <c r="AB237" s="271"/>
      <c r="AC237" s="107"/>
      <c r="AD237" s="1"/>
      <c r="AE237" s="1"/>
      <c r="AF237" s="1"/>
      <c r="AJ237" s="3"/>
    </row>
    <row r="238" spans="1:52" hidden="1" x14ac:dyDescent="0.25">
      <c r="D238" s="19"/>
      <c r="M238" s="121"/>
      <c r="N238" s="820"/>
      <c r="O238" s="820"/>
      <c r="P238" s="820"/>
      <c r="Q238" s="758"/>
      <c r="R238" s="758"/>
      <c r="S238" s="758"/>
      <c r="T238" s="271"/>
      <c r="U238" s="8"/>
      <c r="V238" s="8"/>
      <c r="W238" s="8"/>
      <c r="X238" s="8"/>
      <c r="Y238" s="8"/>
      <c r="Z238" s="758"/>
      <c r="AA238" s="271"/>
      <c r="AB238" s="271"/>
      <c r="AC238" s="107"/>
      <c r="AD238" s="1"/>
      <c r="AE238" s="1"/>
      <c r="AF238" s="1"/>
      <c r="AJ238" s="3"/>
    </row>
    <row r="239" spans="1:52" hidden="1" x14ac:dyDescent="0.25">
      <c r="D239" s="19"/>
      <c r="M239" s="121"/>
      <c r="N239" s="820"/>
      <c r="O239" s="820"/>
      <c r="P239" s="820"/>
      <c r="Q239" s="758"/>
      <c r="R239" s="758"/>
      <c r="S239" s="758"/>
      <c r="T239" s="271"/>
      <c r="U239" s="8"/>
      <c r="V239" s="8"/>
      <c r="W239" s="8"/>
      <c r="X239" s="8"/>
      <c r="Y239" s="8"/>
      <c r="Z239" s="758"/>
      <c r="AA239" s="271"/>
      <c r="AB239" s="271"/>
      <c r="AC239" s="107"/>
      <c r="AD239" s="1"/>
      <c r="AE239" s="1"/>
      <c r="AF239" s="1"/>
      <c r="AJ239" s="3"/>
    </row>
    <row r="240" spans="1:52" hidden="1" x14ac:dyDescent="0.25">
      <c r="D240" s="19"/>
      <c r="M240" s="121"/>
      <c r="N240" s="820"/>
      <c r="O240" s="820"/>
      <c r="P240" s="820"/>
      <c r="Q240" s="758"/>
      <c r="R240" s="758"/>
      <c r="S240" s="758"/>
      <c r="T240" s="271"/>
      <c r="U240" s="8"/>
      <c r="V240" s="8"/>
      <c r="W240" s="8"/>
      <c r="X240" s="8"/>
      <c r="Y240" s="8"/>
      <c r="Z240" s="758"/>
      <c r="AA240" s="271"/>
      <c r="AB240" s="271"/>
      <c r="AC240" s="107"/>
      <c r="AD240" s="1"/>
      <c r="AE240" s="1"/>
      <c r="AF240" s="1"/>
      <c r="AJ240" s="3"/>
    </row>
    <row r="241" spans="1:58" hidden="1" x14ac:dyDescent="0.25">
      <c r="D241" s="19"/>
      <c r="M241" s="121"/>
      <c r="N241" s="820"/>
      <c r="O241" s="820"/>
      <c r="P241" s="820"/>
      <c r="Q241" s="758"/>
      <c r="R241" s="758"/>
      <c r="S241" s="758"/>
      <c r="T241" s="271"/>
      <c r="U241" s="8"/>
      <c r="V241" s="8"/>
      <c r="W241" s="8"/>
      <c r="X241" s="8"/>
      <c r="Y241" s="8"/>
      <c r="Z241" s="758"/>
      <c r="AA241" s="271"/>
      <c r="AB241" s="271"/>
      <c r="AC241" s="107"/>
      <c r="AD241" s="1"/>
      <c r="AE241" s="1"/>
      <c r="AF241" s="1"/>
      <c r="AJ241" s="3"/>
    </row>
    <row r="242" spans="1:58" hidden="1" x14ac:dyDescent="0.25">
      <c r="D242" s="19"/>
      <c r="M242" s="121"/>
      <c r="N242" s="820"/>
      <c r="O242" s="820"/>
      <c r="P242" s="820"/>
      <c r="Q242" s="758"/>
      <c r="R242" s="758"/>
      <c r="S242" s="758"/>
      <c r="T242" s="271"/>
      <c r="U242" s="8"/>
      <c r="V242" s="8"/>
      <c r="W242" s="8"/>
      <c r="X242" s="8"/>
      <c r="Y242" s="8"/>
      <c r="Z242" s="758"/>
      <c r="AA242" s="271"/>
      <c r="AB242" s="271"/>
      <c r="AC242" s="107"/>
      <c r="AD242" s="1"/>
      <c r="AE242" s="1"/>
      <c r="AF242" s="1"/>
      <c r="AJ242" s="3"/>
    </row>
    <row r="243" spans="1:58" hidden="1" x14ac:dyDescent="0.25">
      <c r="D243" s="19"/>
      <c r="M243" s="121"/>
      <c r="N243" s="820"/>
      <c r="O243" s="820"/>
      <c r="P243" s="820"/>
      <c r="Q243" s="758"/>
      <c r="R243" s="758"/>
      <c r="S243" s="758"/>
      <c r="T243" s="271"/>
      <c r="U243" s="8"/>
      <c r="V243" s="8"/>
      <c r="W243" s="8"/>
      <c r="X243" s="8"/>
      <c r="Y243" s="8"/>
      <c r="Z243" s="758"/>
      <c r="AA243" s="271"/>
      <c r="AB243" s="271"/>
      <c r="AC243" s="107"/>
      <c r="AD243" s="1"/>
      <c r="AE243" s="1"/>
      <c r="AF243" s="1"/>
      <c r="AJ243" s="3"/>
    </row>
    <row r="244" spans="1:58" hidden="1" x14ac:dyDescent="0.25">
      <c r="A244" s="1070">
        <v>3</v>
      </c>
      <c r="B244" s="824" t="s">
        <v>63</v>
      </c>
      <c r="C244" s="824"/>
      <c r="D244" s="824"/>
      <c r="E244" s="340" t="str">
        <f>Man01_Crit1</f>
        <v>Pre-requisite: early stage greenhouse gas calculation</v>
      </c>
      <c r="F244" s="122" t="str">
        <f>Man01_Crit1_credits</f>
        <v>Yes/No</v>
      </c>
      <c r="G244" s="43"/>
      <c r="H244" s="123"/>
      <c r="I244" s="129" t="str">
        <f>Man01_minstd</f>
        <v>Unclassified</v>
      </c>
      <c r="J244" s="80"/>
      <c r="K244" s="281" t="s">
        <v>297</v>
      </c>
      <c r="L244" s="738"/>
      <c r="M244" s="816"/>
      <c r="N244" s="83"/>
      <c r="O244" s="878"/>
      <c r="P244" s="878"/>
      <c r="Q244" s="744"/>
      <c r="R244" s="745"/>
      <c r="S244" s="738"/>
      <c r="T244" s="319"/>
      <c r="U244" s="83"/>
      <c r="V244" s="878"/>
      <c r="W244" s="878"/>
      <c r="X244" s="81"/>
      <c r="Y244" s="80"/>
      <c r="Z244" s="738"/>
      <c r="AA244" s="133"/>
      <c r="AB244" s="640"/>
      <c r="AC244" s="107">
        <f>AC11</f>
        <v>1</v>
      </c>
      <c r="AD244" s="3">
        <f>VLOOKUP(K244,'Assessment Details'!$O$45:$P$48,2,FALSE)</f>
        <v>3</v>
      </c>
      <c r="AE244" s="3" t="e">
        <f>VLOOKUP(R244,'Assessment Details'!$O$45:$P$48,2,FALSE)</f>
        <v>#N/A</v>
      </c>
      <c r="AF244" s="3" t="e">
        <f>VLOOKUP(Y244,'Assessment Details'!$O$45:$P$48,2,FALSE)</f>
        <v>#N/A</v>
      </c>
      <c r="AI244" s="70"/>
      <c r="AJ244" s="671"/>
      <c r="AK244" s="727"/>
      <c r="AL244" s="727"/>
      <c r="AM244" s="3"/>
      <c r="AN244" s="3"/>
      <c r="AO244" s="3"/>
      <c r="AP244" s="70"/>
      <c r="AS244" s="23"/>
      <c r="AT244" s="23"/>
      <c r="AU244" s="23"/>
      <c r="AV244" s="23"/>
      <c r="AW244" s="23"/>
      <c r="AX244" s="23"/>
      <c r="AZ244" s="640"/>
      <c r="BD244" s="18"/>
      <c r="BE244" s="18"/>
      <c r="BF244" s="18"/>
    </row>
    <row r="245" spans="1:58" hidden="1" x14ac:dyDescent="0.25">
      <c r="A245" s="1070">
        <v>6</v>
      </c>
      <c r="B245" s="824" t="s">
        <v>63</v>
      </c>
      <c r="C245" s="824"/>
      <c r="D245" s="824"/>
      <c r="E245" s="340" t="str">
        <f>Man03_Crit1</f>
        <v>Minimum req: legal and sustainable timber</v>
      </c>
      <c r="F245" s="122" t="str">
        <f>Man03_Crit1_credits</f>
        <v>Yes/No</v>
      </c>
      <c r="G245" s="734"/>
      <c r="H245" s="123"/>
      <c r="I245" s="127" t="str">
        <f>Man03_minstd_cri</f>
        <v>Unclassified</v>
      </c>
      <c r="J245" s="80"/>
      <c r="K245" s="281" t="s">
        <v>297</v>
      </c>
      <c r="L245" s="738"/>
      <c r="M245" s="815"/>
      <c r="N245" s="83"/>
      <c r="O245" s="878"/>
      <c r="P245" s="878"/>
      <c r="Q245" s="744"/>
      <c r="R245" s="745"/>
      <c r="S245" s="738"/>
      <c r="T245" s="319"/>
      <c r="U245" s="83"/>
      <c r="V245" s="878"/>
      <c r="W245" s="878"/>
      <c r="X245" s="81"/>
      <c r="Y245" s="80"/>
      <c r="Z245" s="738"/>
      <c r="AA245" s="133"/>
      <c r="AB245" s="640" t="s">
        <v>14</v>
      </c>
      <c r="AC245" s="107">
        <f>AC20</f>
        <v>1</v>
      </c>
      <c r="AD245" s="3">
        <f>VLOOKUP(K245,'Assessment Details'!$O$45:$P$48,2,FALSE)</f>
        <v>3</v>
      </c>
      <c r="AE245" s="3" t="e">
        <f>VLOOKUP(R245,'Assessment Details'!$O$45:$P$48,2,FALSE)</f>
        <v>#N/A</v>
      </c>
      <c r="AF245" s="3" t="e">
        <f>VLOOKUP(Y245,'Assessment Details'!$O$45:$P$48,2,FALSE)</f>
        <v>#N/A</v>
      </c>
      <c r="AI245" s="70"/>
      <c r="AJ245" s="671" t="s">
        <v>263</v>
      </c>
      <c r="AK245" s="70"/>
      <c r="AL245" s="70"/>
      <c r="AM245" s="70"/>
      <c r="AN245" s="70"/>
      <c r="AO245" s="70"/>
      <c r="AP245" s="70"/>
      <c r="AS245" s="23" t="str">
        <f>IF($AJ$4=ais_nei,AIS_NA,IF(AK245="",AIS_NA,AK245))</f>
        <v>N/A</v>
      </c>
      <c r="AT245" s="23" t="str">
        <f>IF($AJ$4=ais_nei,AIS_NA,IF(AL245="",AIS_NA,AL245))</f>
        <v>N/A</v>
      </c>
      <c r="AU245" s="23" t="str">
        <f>IF($AJ$4=ais_nei,AIS_NA,IF(AM245="",AIS_NA,AM245))</f>
        <v>N/A</v>
      </c>
      <c r="AV245" s="23"/>
      <c r="AW245" s="23"/>
      <c r="AX245" s="23"/>
      <c r="AZ245" s="640"/>
    </row>
    <row r="246" spans="1:58" hidden="1" x14ac:dyDescent="0.25">
      <c r="A246" s="1070"/>
      <c r="B246" s="824"/>
      <c r="C246" s="824"/>
      <c r="D246" s="824"/>
      <c r="E246" s="340" t="str">
        <f>Man04_Crit1</f>
        <v>Pre-requisite: risk analysis</v>
      </c>
      <c r="F246" s="122" t="str">
        <f>Man04_Crit1_credits</f>
        <v>Yes/No</v>
      </c>
      <c r="G246" s="734"/>
      <c r="H246" s="123"/>
      <c r="I246" s="127" t="str">
        <f>Man04_minstd_cri</f>
        <v>N/A</v>
      </c>
      <c r="J246" s="80"/>
      <c r="K246" s="281" t="s">
        <v>297</v>
      </c>
      <c r="L246" s="738"/>
      <c r="M246" s="815"/>
      <c r="N246" s="83"/>
      <c r="O246" s="878"/>
      <c r="P246" s="878"/>
      <c r="Q246" s="744"/>
      <c r="R246" s="745"/>
      <c r="S246" s="738"/>
      <c r="T246" s="319"/>
      <c r="U246" s="83"/>
      <c r="V246" s="878"/>
      <c r="W246" s="878"/>
      <c r="X246" s="81"/>
      <c r="Y246" s="80"/>
      <c r="Z246" s="738"/>
      <c r="AA246" s="133"/>
      <c r="AB246" s="640"/>
      <c r="AC246" s="107">
        <f>IF(F246="",1,IF(F246=0,2,1))</f>
        <v>1</v>
      </c>
      <c r="AD246" s="3">
        <f>VLOOKUP(K246,'Assessment Details'!$O$45:$P$48,2,FALSE)</f>
        <v>3</v>
      </c>
      <c r="AE246" s="3" t="e">
        <f>VLOOKUP(R246,'Assessment Details'!$O$45:$P$48,2,FALSE)</f>
        <v>#N/A</v>
      </c>
      <c r="AF246" s="3" t="e">
        <f>VLOOKUP(Y246,'Assessment Details'!$O$45:$P$48,2,FALSE)</f>
        <v>#N/A</v>
      </c>
      <c r="AI246" s="70"/>
      <c r="AJ246" s="670"/>
      <c r="AK246" s="648"/>
      <c r="AL246" s="648"/>
      <c r="AM246" s="648"/>
      <c r="AN246" s="70"/>
      <c r="AO246" s="70"/>
      <c r="AP246" s="70"/>
      <c r="AS246" s="23"/>
      <c r="AT246" s="23"/>
      <c r="AU246" s="23"/>
      <c r="AV246" s="23"/>
      <c r="AW246" s="23"/>
      <c r="AX246" s="23"/>
      <c r="AY246" s="18"/>
      <c r="AZ246" s="640"/>
      <c r="BA246" s="18"/>
      <c r="BB246" s="18"/>
      <c r="BC246" s="18"/>
      <c r="BD246" s="18"/>
      <c r="BE246" s="18"/>
      <c r="BF246" s="18"/>
    </row>
    <row r="247" spans="1:58" hidden="1" x14ac:dyDescent="0.25">
      <c r="A247" s="1070">
        <v>9</v>
      </c>
      <c r="B247" s="824" t="s">
        <v>63</v>
      </c>
      <c r="C247" s="824"/>
      <c r="D247" s="824"/>
      <c r="E247" s="712" t="str">
        <f>Man05_Crit1</f>
        <v>Pre-requisite: statutory obligations fulfilled</v>
      </c>
      <c r="F247" s="122" t="str">
        <f>IF(ADBT0=ADBT12,'Assessment Details'!O61,Man05_Crit1_credits)</f>
        <v>Yes/No</v>
      </c>
      <c r="G247" s="43"/>
      <c r="H247" s="123"/>
      <c r="I247" s="129" t="str">
        <f>Man05_minstd_cri</f>
        <v>N/A</v>
      </c>
      <c r="J247" s="80"/>
      <c r="K247" s="281" t="s">
        <v>297</v>
      </c>
      <c r="L247" s="738"/>
      <c r="M247" s="816"/>
      <c r="N247" s="83"/>
      <c r="O247" s="878"/>
      <c r="P247" s="878"/>
      <c r="Q247" s="744"/>
      <c r="R247" s="745"/>
      <c r="S247" s="738"/>
      <c r="T247" s="319"/>
      <c r="U247" s="83"/>
      <c r="V247" s="878"/>
      <c r="W247" s="878"/>
      <c r="X247" s="81"/>
      <c r="Y247" s="80"/>
      <c r="Z247" s="738"/>
      <c r="AA247" s="133"/>
      <c r="AB247" s="640"/>
      <c r="AC247" s="107">
        <f>AC31</f>
        <v>1</v>
      </c>
      <c r="AD247" s="3">
        <f>VLOOKUP(K247,'Assessment Details'!$O$45:$P$48,2,FALSE)</f>
        <v>3</v>
      </c>
      <c r="AE247" s="3" t="e">
        <f>VLOOKUP(R247,'Assessment Details'!$O$45:$P$48,2,FALSE)</f>
        <v>#N/A</v>
      </c>
      <c r="AF247" s="3" t="e">
        <f>VLOOKUP(Y247,'Assessment Details'!$O$45:$P$48,2,FALSE)</f>
        <v>#N/A</v>
      </c>
      <c r="AI247" s="70"/>
      <c r="AJ247" s="671"/>
      <c r="AK247" s="727"/>
      <c r="AL247" s="727"/>
      <c r="AM247" s="3"/>
      <c r="AN247" s="3"/>
      <c r="AO247" s="3"/>
      <c r="AP247" s="70"/>
      <c r="AS247" s="23"/>
      <c r="AT247" s="23"/>
      <c r="AU247" s="23"/>
      <c r="AV247" s="23"/>
      <c r="AW247" s="23"/>
      <c r="AX247" s="23"/>
      <c r="AZ247" s="640"/>
      <c r="BD247" s="18"/>
      <c r="BE247" s="18"/>
      <c r="BF247" s="18"/>
    </row>
    <row r="248" spans="1:58" hidden="1" x14ac:dyDescent="0.25">
      <c r="D248" s="19"/>
      <c r="N248" s="821"/>
      <c r="O248" s="821"/>
      <c r="P248" s="821"/>
      <c r="AA248" s="82"/>
      <c r="AB248" s="82"/>
      <c r="AJ248" s="3"/>
    </row>
    <row r="249" spans="1:58" hidden="1" x14ac:dyDescent="0.25">
      <c r="A249" s="1070">
        <v>29</v>
      </c>
    </row>
    <row r="250" spans="1:58" hidden="1" x14ac:dyDescent="0.25">
      <c r="A250" s="1070">
        <v>24</v>
      </c>
      <c r="B250" s="824" t="s">
        <v>67</v>
      </c>
      <c r="C250" s="824"/>
      <c r="D250" s="824"/>
      <c r="E250" s="318" t="str">
        <f>Ene01_Crit1</f>
        <v>Minimum req: absence of environmental toxins (EU taxonomy requirement: criterion 1)</v>
      </c>
      <c r="F250" s="122" t="str">
        <f>Ene01_Crit1_credits</f>
        <v>Yes/No</v>
      </c>
      <c r="G250" s="43"/>
      <c r="H250" s="123"/>
      <c r="I250" s="129" t="str">
        <f>Ene01_minstd</f>
        <v>Unclassified</v>
      </c>
      <c r="J250" s="80"/>
      <c r="K250" s="281" t="s">
        <v>297</v>
      </c>
      <c r="L250" s="738"/>
      <c r="M250" s="816"/>
      <c r="N250" s="83"/>
      <c r="O250" s="878"/>
      <c r="P250" s="878"/>
      <c r="Q250" s="744"/>
      <c r="R250" s="745"/>
      <c r="S250" s="738"/>
      <c r="T250" s="319"/>
      <c r="U250" s="83"/>
      <c r="V250" s="878"/>
      <c r="W250" s="878"/>
      <c r="X250" s="81"/>
      <c r="Y250" s="80"/>
      <c r="Z250" s="738"/>
      <c r="AA250" s="133"/>
      <c r="AB250" s="640"/>
      <c r="AC250" s="107">
        <f>AC66</f>
        <v>1</v>
      </c>
      <c r="AD250" s="1">
        <f>VLOOKUP(K250,'Assessment Details'!$O$45:$P$48,2,FALSE)</f>
        <v>3</v>
      </c>
      <c r="AE250" s="1" t="e">
        <f>VLOOKUP(R250,'Assessment Details'!$O$45:$P$48,2,FALSE)</f>
        <v>#N/A</v>
      </c>
      <c r="AF250" s="1" t="e">
        <f>VLOOKUP(Y250,'Assessment Details'!$O$45:$P$48,2,FALSE)</f>
        <v>#N/A</v>
      </c>
      <c r="AI250" s="70"/>
      <c r="AJ250" s="671"/>
      <c r="AK250" s="727"/>
      <c r="AL250" s="727"/>
      <c r="AM250" s="3"/>
      <c r="AN250" s="3"/>
      <c r="AO250" s="3"/>
      <c r="AP250" s="70"/>
      <c r="AS250" s="23"/>
      <c r="AT250" s="23"/>
      <c r="AU250" s="23"/>
      <c r="AV250" s="23"/>
      <c r="AW250" s="23"/>
      <c r="AX250" s="23"/>
      <c r="AZ250" s="640"/>
    </row>
    <row r="251" spans="1:58" hidden="1" x14ac:dyDescent="0.25">
      <c r="A251" s="1070">
        <v>81</v>
      </c>
      <c r="B251" s="824" t="s">
        <v>68</v>
      </c>
      <c r="C251" s="824"/>
      <c r="D251" s="824"/>
      <c r="E251" s="318" t="str">
        <f>Tra01_Crit1</f>
        <v>Pre-requisite: ecological risks and opportunities</v>
      </c>
      <c r="F251" s="122" t="str">
        <f>Tra01_Crit1_credits</f>
        <v>Yes/No</v>
      </c>
      <c r="G251" s="43"/>
      <c r="H251" s="123"/>
      <c r="I251" s="129" t="str">
        <f>Tra01_minstd</f>
        <v>N/A</v>
      </c>
      <c r="J251" s="80"/>
      <c r="K251" s="281" t="s">
        <v>297</v>
      </c>
      <c r="L251" s="738"/>
      <c r="M251" s="816"/>
      <c r="N251" s="83"/>
      <c r="O251" s="878"/>
      <c r="P251" s="878"/>
      <c r="Q251" s="744"/>
      <c r="R251" s="745"/>
      <c r="S251" s="738"/>
      <c r="T251" s="319"/>
      <c r="U251" s="83"/>
      <c r="V251" s="878"/>
      <c r="W251" s="878"/>
      <c r="X251" s="81"/>
      <c r="Y251" s="80"/>
      <c r="Z251" s="738"/>
      <c r="AA251" s="133"/>
      <c r="AB251" s="640"/>
      <c r="AC251" s="107">
        <f>AC95</f>
        <v>1</v>
      </c>
      <c r="AD251" s="1">
        <f>VLOOKUP(K251,'Assessment Details'!$O$45:$P$48,2,FALSE)</f>
        <v>3</v>
      </c>
      <c r="AE251" s="1" t="e">
        <f>VLOOKUP(R251,'Assessment Details'!$O$45:$P$48,2,FALSE)</f>
        <v>#N/A</v>
      </c>
      <c r="AF251" s="1" t="e">
        <f>VLOOKUP(Y251,'Assessment Details'!$O$45:$P$48,2,FALSE)</f>
        <v>#N/A</v>
      </c>
      <c r="AI251" s="70"/>
      <c r="AJ251" s="671"/>
      <c r="AK251" s="727"/>
      <c r="AL251" s="727"/>
      <c r="AM251" s="3"/>
      <c r="AN251" s="3"/>
      <c r="AO251" s="3"/>
      <c r="AP251" s="70"/>
      <c r="AS251" s="23"/>
      <c r="AT251" s="23"/>
      <c r="AU251" s="23"/>
      <c r="AV251" s="23"/>
      <c r="AW251" s="23"/>
      <c r="AX251" s="23"/>
      <c r="AZ251" s="640"/>
    </row>
    <row r="252" spans="1:58" hidden="1" x14ac:dyDescent="0.25">
      <c r="D252" s="19"/>
      <c r="N252" s="821"/>
      <c r="O252" s="821"/>
      <c r="P252" s="821"/>
      <c r="AJ252" s="3"/>
    </row>
    <row r="253" spans="1:58" hidden="1" x14ac:dyDescent="0.25">
      <c r="A253" s="1070">
        <v>48</v>
      </c>
      <c r="B253" s="824" t="s">
        <v>69</v>
      </c>
      <c r="C253" s="824"/>
      <c r="D253" s="824"/>
      <c r="E253" s="340" t="str">
        <f>Mat01_Crit1</f>
        <v>Pre-requisite: managing negative impacts on ecology</v>
      </c>
      <c r="F253" s="122" t="str">
        <f>Mat01_Crit1_credits</f>
        <v>Yes/No</v>
      </c>
      <c r="G253" s="734"/>
      <c r="H253" s="123"/>
      <c r="I253" s="127" t="str">
        <f>Mat01_minstd</f>
        <v>N/A</v>
      </c>
      <c r="J253" s="80"/>
      <c r="K253" s="281" t="s">
        <v>297</v>
      </c>
      <c r="L253" s="738"/>
      <c r="M253" s="815"/>
      <c r="N253" s="83"/>
      <c r="O253" s="878"/>
      <c r="P253" s="878"/>
      <c r="Q253" s="744"/>
      <c r="R253" s="745"/>
      <c r="S253" s="738"/>
      <c r="T253" s="319"/>
      <c r="U253" s="83"/>
      <c r="V253" s="878"/>
      <c r="W253" s="878"/>
      <c r="X253" s="81"/>
      <c r="Y253" s="80"/>
      <c r="Z253" s="738"/>
      <c r="AA253" s="133"/>
      <c r="AB253" s="640" t="s">
        <v>14</v>
      </c>
      <c r="AC253" s="107">
        <f>AC118</f>
        <v>1</v>
      </c>
      <c r="AD253" s="3">
        <f>VLOOKUP(K253,'Assessment Details'!$O$45:$P$48,2,FALSE)</f>
        <v>3</v>
      </c>
      <c r="AE253" s="3" t="e">
        <f>VLOOKUP(R253,'Assessment Details'!$O$45:$P$48,2,FALSE)</f>
        <v>#N/A</v>
      </c>
      <c r="AF253" s="3" t="e">
        <f>VLOOKUP(Y253,'Assessment Details'!$O$45:$P$48,2,FALSE)</f>
        <v>#N/A</v>
      </c>
      <c r="AI253" s="70"/>
      <c r="AJ253" s="671" t="s">
        <v>263</v>
      </c>
      <c r="AK253" s="70"/>
      <c r="AL253" s="70"/>
      <c r="AM253" s="70"/>
      <c r="AN253" s="70"/>
      <c r="AO253" s="70"/>
      <c r="AP253" s="70"/>
      <c r="AS253" s="23" t="str">
        <f t="shared" ref="AS253" si="30">IF($AJ$4=ais_nei,AIS_NA,IF(AK253="",AIS_NA,AK253))</f>
        <v>N/A</v>
      </c>
      <c r="AT253" s="23" t="str">
        <f t="shared" ref="AT253" si="31">IF($AJ$4=ais_nei,AIS_NA,IF(AL253="",AIS_NA,AL253))</f>
        <v>N/A</v>
      </c>
      <c r="AU253" s="23" t="str">
        <f t="shared" ref="AU253" si="32">IF($AJ$4=ais_nei,AIS_NA,IF(AM253="",AIS_NA,AM253))</f>
        <v>N/A</v>
      </c>
      <c r="AV253" s="23"/>
      <c r="AW253" s="23"/>
      <c r="AX253" s="23"/>
      <c r="AZ253" s="640"/>
    </row>
    <row r="254" spans="1:58" hidden="1" x14ac:dyDescent="0.25">
      <c r="A254" s="1070">
        <v>50</v>
      </c>
      <c r="B254" s="824" t="s">
        <v>69</v>
      </c>
      <c r="C254" s="824"/>
      <c r="D254" s="824"/>
      <c r="E254" s="340" t="str">
        <f>Mat02_Crit1</f>
        <v xml:space="preserve">Pre-requisite: suitably qualified acoustician </v>
      </c>
      <c r="F254" s="122" t="str">
        <f>Mat02_Crit1_credits</f>
        <v>Yes/No</v>
      </c>
      <c r="G254" s="43"/>
      <c r="H254" s="123"/>
      <c r="I254" s="127" t="str">
        <f>Mat02_minstd</f>
        <v>N/A</v>
      </c>
      <c r="J254" s="80"/>
      <c r="K254" s="281" t="s">
        <v>297</v>
      </c>
      <c r="L254" s="738"/>
      <c r="M254" s="816"/>
      <c r="N254" s="83"/>
      <c r="O254" s="878"/>
      <c r="P254" s="878"/>
      <c r="Q254" s="744"/>
      <c r="R254" s="745"/>
      <c r="S254" s="738"/>
      <c r="T254" s="319"/>
      <c r="U254" s="83"/>
      <c r="V254" s="878"/>
      <c r="W254" s="878"/>
      <c r="X254" s="81"/>
      <c r="Y254" s="80"/>
      <c r="Z254" s="738"/>
      <c r="AA254" s="133"/>
      <c r="AB254" s="640" t="s">
        <v>14</v>
      </c>
      <c r="AC254" s="107">
        <f>IF(F254="",1,IF(F254=0,2,1))</f>
        <v>1</v>
      </c>
      <c r="AD254" s="3">
        <f>VLOOKUP(K254,'Assessment Details'!$O$45:$P$48,2,FALSE)</f>
        <v>3</v>
      </c>
      <c r="AE254" s="3" t="e">
        <f>VLOOKUP(R254,'Assessment Details'!$O$45:$P$48,2,FALSE)</f>
        <v>#N/A</v>
      </c>
      <c r="AF254" s="3" t="e">
        <f>VLOOKUP(Y254,'Assessment Details'!$O$45:$P$48,2,FALSE)</f>
        <v>#N/A</v>
      </c>
      <c r="AI254" s="70"/>
      <c r="AJ254" s="671" t="s">
        <v>264</v>
      </c>
      <c r="AK254" s="70"/>
      <c r="AL254" s="70"/>
      <c r="AM254" s="70"/>
      <c r="AN254" s="70"/>
      <c r="AO254" s="70"/>
      <c r="AP254" s="70"/>
      <c r="AS254" s="23" t="str">
        <f t="shared" ref="AS254" si="33">IF($AJ$4=ais_nei,AIS_NA,IF(AK254="",AIS_NA,AK254))</f>
        <v>N/A</v>
      </c>
      <c r="AT254" s="23" t="str">
        <f t="shared" ref="AT254" si="34">IF($AJ$4=ais_nei,AIS_NA,IF(AL254="",AIS_NA,AL254))</f>
        <v>N/A</v>
      </c>
      <c r="AU254" s="23" t="str">
        <f t="shared" ref="AU254" si="35">IF($AJ$4=ais_nei,AIS_NA,IF(AM254="",AIS_NA,AM254))</f>
        <v>N/A</v>
      </c>
      <c r="AV254" s="23"/>
      <c r="AW254" s="23"/>
      <c r="AX254" s="23"/>
      <c r="AZ254" s="640"/>
    </row>
    <row r="255" spans="1:58" hidden="1" x14ac:dyDescent="0.25">
      <c r="A255" s="1070">
        <v>52</v>
      </c>
      <c r="B255" s="824" t="s">
        <v>69</v>
      </c>
      <c r="C255" s="824"/>
      <c r="D255" s="824"/>
      <c r="E255" s="340" t="str">
        <f>Mat03_Crit1</f>
        <v>Minimum req: agricultural area / forest (EU taxonomy requirement: criterion 2)</v>
      </c>
      <c r="F255" s="122" t="str">
        <f>Mat03_Crit1_credits</f>
        <v>Yes/No</v>
      </c>
      <c r="G255" s="43"/>
      <c r="H255" s="123"/>
      <c r="I255" s="128" t="str">
        <f>Mat03_minstd</f>
        <v>Very Good</v>
      </c>
      <c r="J255" s="80"/>
      <c r="K255" s="281" t="s">
        <v>297</v>
      </c>
      <c r="L255" s="738"/>
      <c r="M255" s="816"/>
      <c r="N255" s="83"/>
      <c r="O255" s="878"/>
      <c r="P255" s="878"/>
      <c r="Q255" s="744"/>
      <c r="R255" s="745"/>
      <c r="S255" s="738"/>
      <c r="T255" s="319"/>
      <c r="U255" s="83"/>
      <c r="V255" s="878"/>
      <c r="W255" s="878"/>
      <c r="X255" s="81"/>
      <c r="Y255" s="80"/>
      <c r="Z255" s="738"/>
      <c r="AA255" s="133"/>
      <c r="AB255" s="640" t="s">
        <v>14</v>
      </c>
      <c r="AC255" s="107">
        <f>IF(F255="",1,IF(F255=0,2,1))</f>
        <v>1</v>
      </c>
      <c r="AD255" s="3">
        <f>VLOOKUP(K255,'Assessment Details'!$O$45:$P$48,2,FALSE)</f>
        <v>3</v>
      </c>
      <c r="AE255" s="3" t="e">
        <f>VLOOKUP(R255,'Assessment Details'!$O$45:$P$48,2,FALSE)</f>
        <v>#N/A</v>
      </c>
      <c r="AF255" s="3" t="e">
        <f>VLOOKUP(Y255,'Assessment Details'!$O$45:$P$48,2,FALSE)</f>
        <v>#N/A</v>
      </c>
      <c r="AI255" s="70"/>
      <c r="AJ255" s="671" t="s">
        <v>311</v>
      </c>
      <c r="AK255" s="70"/>
      <c r="AL255" s="70"/>
      <c r="AM255" s="70"/>
      <c r="AN255" s="70"/>
      <c r="AO255" s="70"/>
      <c r="AP255" s="70"/>
      <c r="AS255" s="23" t="str">
        <f>IF($AJ$4=ais_nei,AIS_NA,IF(AK255="",AIS_NA,AK255))</f>
        <v>N/A</v>
      </c>
      <c r="AT255" s="23" t="str">
        <f>IF($AJ$4=ais_nei,AIS_NA,IF(AL255="",AIS_NA,AL255))</f>
        <v>N/A</v>
      </c>
      <c r="AU255" s="23" t="str">
        <f>IF($AJ$4=ais_nei,AIS_NA,IF(AM255="",AIS_NA,AM255))</f>
        <v>N/A</v>
      </c>
      <c r="AV255" s="23"/>
      <c r="AW255" s="23"/>
      <c r="AX255" s="23"/>
      <c r="AZ255" s="640"/>
    </row>
    <row r="256" spans="1:58" ht="15" hidden="1" customHeight="1" x14ac:dyDescent="0.25">
      <c r="A256" s="1070">
        <v>55</v>
      </c>
      <c r="B256" s="824" t="s">
        <v>69</v>
      </c>
      <c r="C256" s="824"/>
      <c r="D256" s="824"/>
      <c r="E256" s="822" t="str">
        <f>Mat06_Crit1</f>
        <v>Pre-requisite: statutory obligations, planning and site implementation</v>
      </c>
      <c r="F256" s="122" t="str">
        <f>Mat06_Crit1_credits</f>
        <v>Yes/No</v>
      </c>
      <c r="G256" s="43"/>
      <c r="H256" s="123"/>
      <c r="I256" s="127" t="str">
        <f>Mat06_minstd_cred</f>
        <v>N/A</v>
      </c>
      <c r="J256" s="80"/>
      <c r="K256" s="281" t="s">
        <v>297</v>
      </c>
      <c r="L256" s="738"/>
      <c r="M256" s="816"/>
      <c r="N256" s="83"/>
      <c r="O256" s="878"/>
      <c r="P256" s="878"/>
      <c r="Q256" s="744"/>
      <c r="R256" s="745"/>
      <c r="S256" s="738"/>
      <c r="T256" s="319"/>
      <c r="U256" s="83"/>
      <c r="V256" s="878"/>
      <c r="W256" s="878"/>
      <c r="X256" s="81"/>
      <c r="Y256" s="80"/>
      <c r="Z256" s="738"/>
      <c r="AA256" s="133"/>
      <c r="AB256" s="640" t="s">
        <v>14</v>
      </c>
      <c r="AC256" s="107">
        <f>IF(F256="",1,IF(F256=0,2,1))</f>
        <v>1</v>
      </c>
      <c r="AD256" s="3">
        <f>VLOOKUP(K256,'Assessment Details'!$O$45:$P$48,2,FALSE)</f>
        <v>3</v>
      </c>
      <c r="AE256" s="3" t="e">
        <f>VLOOKUP(R256,'Assessment Details'!$O$45:$P$48,2,FALSE)</f>
        <v>#N/A</v>
      </c>
      <c r="AF256" s="3" t="e">
        <f>VLOOKUP(Y256,'Assessment Details'!$O$45:$P$48,2,FALSE)</f>
        <v>#N/A</v>
      </c>
      <c r="AI256" s="70"/>
      <c r="AJ256" s="671" t="s">
        <v>264</v>
      </c>
      <c r="AK256" s="70"/>
      <c r="AL256" s="70"/>
      <c r="AM256" s="70"/>
      <c r="AN256" s="70"/>
      <c r="AO256" s="70"/>
      <c r="AP256" s="70"/>
      <c r="AS256" s="23" t="str">
        <f t="shared" ref="AS256" si="36">IF($AJ$4=ais_nei,AIS_NA,IF(AK256="",AIS_NA,AK256))</f>
        <v>N/A</v>
      </c>
      <c r="AT256" s="23" t="str">
        <f t="shared" ref="AT256" si="37">IF($AJ$4=ais_nei,AIS_NA,IF(AL256="",AIS_NA,AL256))</f>
        <v>N/A</v>
      </c>
      <c r="AU256" s="23" t="str">
        <f t="shared" ref="AU256" si="38">IF($AJ$4=ais_nei,AIS_NA,IF(AM256="",AIS_NA,AM256))</f>
        <v>N/A</v>
      </c>
      <c r="AV256" s="23"/>
      <c r="AW256" s="23"/>
      <c r="AX256" s="23"/>
      <c r="AZ256" s="640"/>
    </row>
    <row r="257" spans="1:52" hidden="1" x14ac:dyDescent="0.25">
      <c r="A257" s="1070">
        <v>57</v>
      </c>
      <c r="B257" s="824" t="s">
        <v>69</v>
      </c>
      <c r="C257" s="824"/>
      <c r="D257" s="824"/>
      <c r="E257" s="822" t="str">
        <f>Mat07_Crit1</f>
        <v>Pre-requisite: flood risk assessment</v>
      </c>
      <c r="F257" s="122" t="str">
        <f>Mat07_Crit1_credits</f>
        <v>Yes/No</v>
      </c>
      <c r="G257" s="43"/>
      <c r="H257" s="123"/>
      <c r="I257" s="127" t="str" cm="1">
        <f t="array" ref="I257">Mat07_minstd_cred</f>
        <v>N/A</v>
      </c>
      <c r="J257" s="80"/>
      <c r="K257" s="281" t="s">
        <v>297</v>
      </c>
      <c r="L257" s="796"/>
      <c r="M257" s="816"/>
      <c r="N257" s="83"/>
      <c r="O257" s="878"/>
      <c r="P257" s="878"/>
      <c r="Q257" s="744"/>
      <c r="R257" s="745"/>
      <c r="S257" s="738"/>
      <c r="T257" s="319"/>
      <c r="U257" s="83"/>
      <c r="V257" s="878"/>
      <c r="W257" s="878"/>
      <c r="X257" s="81"/>
      <c r="Y257" s="80"/>
      <c r="Z257" s="738"/>
      <c r="AA257" s="133"/>
      <c r="AB257" s="640" t="s">
        <v>14</v>
      </c>
      <c r="AC257" s="107">
        <f>IF(F257="",1,IF(F257=0,2,1))</f>
        <v>1</v>
      </c>
      <c r="AD257" s="3">
        <f>VLOOKUP(K257,'Assessment Details'!$O$45:$P$48,2,FALSE)</f>
        <v>3</v>
      </c>
      <c r="AE257" s="3" t="e">
        <f>VLOOKUP(R257,'Assessment Details'!$O$45:$P$48,2,FALSE)</f>
        <v>#N/A</v>
      </c>
      <c r="AF257" s="3" t="e">
        <f>VLOOKUP(Y257,'Assessment Details'!$O$45:$P$48,2,FALSE)</f>
        <v>#N/A</v>
      </c>
      <c r="AI257" s="70"/>
      <c r="AJ257" s="671" t="s">
        <v>264</v>
      </c>
      <c r="AK257" s="70"/>
      <c r="AL257" s="70"/>
      <c r="AM257" s="70"/>
      <c r="AN257" s="70"/>
      <c r="AO257" s="70"/>
      <c r="AP257" s="70"/>
      <c r="AS257" s="23" t="str">
        <f t="shared" ref="AS257" si="39">IF($AJ$4=ais_nei,AIS_NA,IF(AK257="",AIS_NA,AK257))</f>
        <v>N/A</v>
      </c>
      <c r="AT257" s="23" t="str">
        <f t="shared" ref="AT257" si="40">IF($AJ$4=ais_nei,AIS_NA,IF(AL257="",AIS_NA,AL257))</f>
        <v>N/A</v>
      </c>
      <c r="AU257" s="23" t="str">
        <f t="shared" ref="AU257" si="41">IF($AJ$4=ais_nei,AIS_NA,IF(AM257="",AIS_NA,AM257))</f>
        <v>N/A</v>
      </c>
      <c r="AV257" s="23"/>
      <c r="AW257" s="23"/>
      <c r="AX257" s="23"/>
      <c r="AZ257" s="640"/>
    </row>
    <row r="258" spans="1:52" hidden="1" x14ac:dyDescent="0.25">
      <c r="A258" s="1070">
        <v>62</v>
      </c>
      <c r="B258" s="824" t="s">
        <v>70</v>
      </c>
      <c r="C258" s="824"/>
      <c r="D258" s="824"/>
      <c r="E258" s="340" t="str">
        <f>Wst01_Crit1</f>
        <v>Pre-requisite: risk assessment and the "three- step strategy"</v>
      </c>
      <c r="F258" s="122" t="str">
        <f>Wst01_Crit1_credits</f>
        <v>Yes/No</v>
      </c>
      <c r="G258" s="43"/>
      <c r="H258" s="123"/>
      <c r="I258" s="127" t="str">
        <f>Wst01_minstd</f>
        <v>N/A</v>
      </c>
      <c r="J258" s="80"/>
      <c r="K258" s="281" t="s">
        <v>297</v>
      </c>
      <c r="L258" s="738"/>
      <c r="M258" s="815"/>
      <c r="N258" s="83"/>
      <c r="O258" s="878"/>
      <c r="P258" s="878"/>
      <c r="Q258" s="744"/>
      <c r="R258" s="745"/>
      <c r="S258" s="738"/>
      <c r="T258" s="319"/>
      <c r="U258" s="83"/>
      <c r="V258" s="878"/>
      <c r="W258" s="878"/>
      <c r="X258" s="81"/>
      <c r="Y258" s="80"/>
      <c r="Z258" s="738"/>
      <c r="AA258" s="133"/>
      <c r="AB258" s="640" t="s">
        <v>14</v>
      </c>
      <c r="AC258" s="107">
        <f>AC148</f>
        <v>1</v>
      </c>
      <c r="AD258" s="3">
        <f>VLOOKUP(K258,'Assessment Details'!$O$45:$P$48,2,FALSE)</f>
        <v>3</v>
      </c>
      <c r="AE258" s="3" t="e">
        <f>VLOOKUP(R258,'Assessment Details'!$O$45:$P$48,2,FALSE)</f>
        <v>#N/A</v>
      </c>
      <c r="AF258" s="3" t="e">
        <f>VLOOKUP(Y258,'Assessment Details'!$O$45:$P$48,2,FALSE)</f>
        <v>#N/A</v>
      </c>
      <c r="AI258" s="70"/>
      <c r="AJ258" s="671" t="s">
        <v>263</v>
      </c>
      <c r="AK258" s="70"/>
      <c r="AL258" s="70"/>
      <c r="AM258" s="70"/>
      <c r="AN258" s="70"/>
      <c r="AO258" s="70"/>
      <c r="AP258" s="70"/>
      <c r="AS258" s="23" t="str">
        <f>IF($AJ$4=ais_nei,AIS_NA,IF(AK258="",AIS_NA,AK258))</f>
        <v>N/A</v>
      </c>
      <c r="AT258" s="23" t="str">
        <f>IF($AJ$4=ais_nei,AIS_NA,IF(AL258="",AIS_NA,AL258))</f>
        <v>N/A</v>
      </c>
      <c r="AU258" s="23" t="str">
        <f>IF($AJ$4=ais_nei,AIS_NA,IF(AM258="",AIS_NA,AM258))</f>
        <v>N/A</v>
      </c>
      <c r="AV258" s="23"/>
      <c r="AW258" s="23"/>
      <c r="AX258" s="23"/>
      <c r="AZ258" s="640"/>
    </row>
    <row r="259" spans="1:52" hidden="1" x14ac:dyDescent="0.25">
      <c r="D259" s="19"/>
      <c r="N259" s="821"/>
      <c r="O259" s="821"/>
      <c r="P259" s="821"/>
      <c r="AJ259" s="3"/>
    </row>
    <row r="260" spans="1:52" hidden="1" x14ac:dyDescent="0.25">
      <c r="D260" s="19"/>
      <c r="N260" s="821"/>
      <c r="O260" s="821"/>
      <c r="P260" s="821"/>
      <c r="AJ260" s="3"/>
    </row>
    <row r="261" spans="1:52" hidden="1" x14ac:dyDescent="0.25">
      <c r="D261" s="19"/>
      <c r="N261" s="821"/>
      <c r="O261" s="821"/>
      <c r="P261" s="821"/>
      <c r="AJ261" s="3"/>
    </row>
    <row r="262" spans="1:52" hidden="1" x14ac:dyDescent="0.25">
      <c r="N262" s="821"/>
      <c r="O262" s="821"/>
      <c r="P262" s="821"/>
      <c r="AJ262" s="3"/>
    </row>
    <row r="263" spans="1:52" hidden="1" x14ac:dyDescent="0.25">
      <c r="N263" s="821"/>
      <c r="O263" s="821"/>
      <c r="P263" s="821"/>
      <c r="AJ263" s="3"/>
    </row>
    <row r="264" spans="1:52" hidden="1" x14ac:dyDescent="0.25">
      <c r="N264" s="821"/>
      <c r="O264" s="821"/>
      <c r="P264" s="821"/>
      <c r="AJ264" s="3"/>
    </row>
    <row r="265" spans="1:52" hidden="1" x14ac:dyDescent="0.25">
      <c r="N265" s="821"/>
      <c r="O265" s="821"/>
      <c r="P265" s="821"/>
      <c r="AJ265" s="3"/>
    </row>
    <row r="266" spans="1:52" hidden="1" x14ac:dyDescent="0.25">
      <c r="N266" s="821"/>
      <c r="O266" s="821"/>
      <c r="P266" s="821"/>
      <c r="AJ266" s="3"/>
    </row>
    <row r="267" spans="1:52" hidden="1" x14ac:dyDescent="0.25">
      <c r="N267" s="821"/>
      <c r="O267" s="821"/>
      <c r="P267" s="821"/>
      <c r="AJ267" s="3"/>
    </row>
    <row r="268" spans="1:52" hidden="1" x14ac:dyDescent="0.25">
      <c r="N268" s="821"/>
      <c r="O268" s="821"/>
      <c r="P268" s="821"/>
      <c r="AJ268" s="3"/>
    </row>
    <row r="269" spans="1:52" hidden="1" x14ac:dyDescent="0.25">
      <c r="N269" s="821"/>
      <c r="O269" s="821"/>
      <c r="P269" s="821"/>
      <c r="AJ269" s="3"/>
    </row>
    <row r="270" spans="1:52" hidden="1" x14ac:dyDescent="0.25">
      <c r="N270" s="821"/>
      <c r="O270" s="821"/>
      <c r="P270" s="821"/>
      <c r="AJ270" s="3"/>
    </row>
    <row r="271" spans="1:52" hidden="1" x14ac:dyDescent="0.25">
      <c r="N271" s="821"/>
      <c r="O271" s="821"/>
      <c r="P271" s="821"/>
      <c r="AJ271" s="3"/>
    </row>
    <row r="272" spans="1:52" hidden="1" x14ac:dyDescent="0.25">
      <c r="N272" s="821"/>
      <c r="O272" s="821"/>
      <c r="P272" s="821"/>
      <c r="AJ272" s="3"/>
    </row>
    <row r="273" spans="14:36" hidden="1" x14ac:dyDescent="0.25">
      <c r="N273" s="821"/>
      <c r="O273" s="821"/>
      <c r="P273" s="821"/>
      <c r="AJ273" s="3"/>
    </row>
    <row r="274" spans="14:36" hidden="1" x14ac:dyDescent="0.25">
      <c r="N274" s="821"/>
      <c r="O274" s="821"/>
      <c r="P274" s="821"/>
      <c r="AJ274" s="3"/>
    </row>
    <row r="275" spans="14:36" hidden="1" x14ac:dyDescent="0.25">
      <c r="N275" s="821"/>
      <c r="O275" s="821"/>
      <c r="P275" s="821"/>
      <c r="AJ275" s="3"/>
    </row>
    <row r="276" spans="14:36" hidden="1" x14ac:dyDescent="0.25">
      <c r="N276" s="821"/>
      <c r="O276" s="821"/>
      <c r="P276" s="821"/>
      <c r="AJ276" s="3"/>
    </row>
    <row r="277" spans="14:36" hidden="1" x14ac:dyDescent="0.25">
      <c r="N277" s="821"/>
      <c r="O277" s="821"/>
      <c r="P277" s="821"/>
      <c r="AJ277" s="3"/>
    </row>
    <row r="278" spans="14:36" hidden="1" x14ac:dyDescent="0.25">
      <c r="N278" s="821"/>
      <c r="O278" s="821"/>
      <c r="P278" s="821"/>
      <c r="AJ278" s="3"/>
    </row>
    <row r="279" spans="14:36" hidden="1" x14ac:dyDescent="0.25">
      <c r="N279" s="821"/>
      <c r="O279" s="821"/>
      <c r="P279" s="821"/>
      <c r="AJ279" s="3"/>
    </row>
    <row r="280" spans="14:36" hidden="1" x14ac:dyDescent="0.25">
      <c r="N280" s="821"/>
      <c r="O280" s="821"/>
      <c r="P280" s="821"/>
      <c r="AJ280" s="3"/>
    </row>
    <row r="281" spans="14:36" hidden="1" x14ac:dyDescent="0.25">
      <c r="N281" s="821"/>
      <c r="O281" s="821"/>
      <c r="P281" s="821"/>
      <c r="AJ281" s="3"/>
    </row>
    <row r="282" spans="14:36" hidden="1" x14ac:dyDescent="0.25">
      <c r="N282" s="821"/>
      <c r="O282" s="821"/>
      <c r="P282" s="821"/>
      <c r="AJ282" s="3"/>
    </row>
    <row r="283" spans="14:36" hidden="1" x14ac:dyDescent="0.25">
      <c r="N283" s="821"/>
      <c r="O283" s="821"/>
      <c r="P283" s="821"/>
      <c r="AJ283" s="3"/>
    </row>
    <row r="284" spans="14:36" hidden="1" x14ac:dyDescent="0.25">
      <c r="N284" s="821"/>
      <c r="O284" s="821"/>
      <c r="P284" s="821"/>
      <c r="AJ284" s="3"/>
    </row>
    <row r="285" spans="14:36" hidden="1" x14ac:dyDescent="0.25">
      <c r="N285" s="821"/>
      <c r="O285" s="821"/>
      <c r="P285" s="821"/>
      <c r="AJ285" s="3"/>
    </row>
    <row r="286" spans="14:36" hidden="1" x14ac:dyDescent="0.25">
      <c r="N286" s="821"/>
      <c r="O286" s="821"/>
      <c r="P286" s="821"/>
      <c r="AJ286" s="3"/>
    </row>
    <row r="287" spans="14:36" hidden="1" x14ac:dyDescent="0.25">
      <c r="N287" s="821"/>
      <c r="O287" s="821"/>
      <c r="P287" s="821"/>
      <c r="AJ287" s="3"/>
    </row>
    <row r="288" spans="14:36" hidden="1" x14ac:dyDescent="0.25">
      <c r="N288" s="821"/>
      <c r="O288" s="821"/>
      <c r="P288" s="821"/>
      <c r="AJ288" s="3"/>
    </row>
    <row r="289" spans="14:36" hidden="1" x14ac:dyDescent="0.25">
      <c r="N289" s="821"/>
      <c r="O289" s="821"/>
      <c r="P289" s="821"/>
      <c r="AJ289" s="3"/>
    </row>
    <row r="290" spans="14:36" hidden="1" x14ac:dyDescent="0.25">
      <c r="N290" s="821"/>
      <c r="O290" s="821"/>
      <c r="P290" s="821"/>
      <c r="AJ290" s="3"/>
    </row>
    <row r="291" spans="14:36" hidden="1" x14ac:dyDescent="0.25">
      <c r="N291" s="821"/>
      <c r="O291" s="821"/>
      <c r="P291" s="821"/>
      <c r="AJ291" s="3"/>
    </row>
    <row r="292" spans="14:36" hidden="1" x14ac:dyDescent="0.25">
      <c r="N292" s="821"/>
      <c r="O292" s="821"/>
      <c r="P292" s="821"/>
      <c r="AJ292" s="3"/>
    </row>
    <row r="293" spans="14:36" hidden="1" x14ac:dyDescent="0.25">
      <c r="N293" s="821"/>
      <c r="O293" s="821"/>
      <c r="P293" s="821"/>
      <c r="AJ293" s="3"/>
    </row>
    <row r="294" spans="14:36" hidden="1" x14ac:dyDescent="0.25">
      <c r="N294" s="821"/>
      <c r="O294" s="821"/>
      <c r="P294" s="821"/>
      <c r="AJ294" s="3"/>
    </row>
    <row r="295" spans="14:36" hidden="1" x14ac:dyDescent="0.25">
      <c r="N295" s="821"/>
      <c r="O295" s="821"/>
      <c r="P295" s="821"/>
      <c r="AJ295" s="3"/>
    </row>
    <row r="296" spans="14:36" hidden="1" x14ac:dyDescent="0.25">
      <c r="N296" s="821"/>
      <c r="O296" s="821"/>
      <c r="P296" s="821"/>
      <c r="AJ296" s="3"/>
    </row>
    <row r="297" spans="14:36" hidden="1" x14ac:dyDescent="0.25">
      <c r="N297" s="821"/>
      <c r="O297" s="821"/>
      <c r="P297" s="821"/>
      <c r="AJ297" s="3"/>
    </row>
    <row r="298" spans="14:36" hidden="1" x14ac:dyDescent="0.25">
      <c r="N298" s="821"/>
      <c r="O298" s="821"/>
      <c r="P298" s="821"/>
      <c r="AJ298" s="3"/>
    </row>
    <row r="299" spans="14:36" hidden="1" x14ac:dyDescent="0.25">
      <c r="N299" s="821"/>
      <c r="O299" s="821"/>
      <c r="P299" s="821"/>
      <c r="AJ299" s="3"/>
    </row>
    <row r="300" spans="14:36" hidden="1" x14ac:dyDescent="0.25">
      <c r="N300" s="821"/>
      <c r="O300" s="821"/>
      <c r="P300" s="821"/>
      <c r="AJ300" s="3"/>
    </row>
    <row r="301" spans="14:36" hidden="1" x14ac:dyDescent="0.25">
      <c r="N301" s="821"/>
      <c r="O301" s="821"/>
      <c r="P301" s="821"/>
      <c r="AJ301" s="3"/>
    </row>
    <row r="302" spans="14:36" hidden="1" x14ac:dyDescent="0.25">
      <c r="N302" s="821"/>
      <c r="O302" s="821"/>
      <c r="P302" s="821"/>
      <c r="AJ302" s="3"/>
    </row>
    <row r="303" spans="14:36" hidden="1" x14ac:dyDescent="0.25">
      <c r="N303" s="821"/>
      <c r="O303" s="821"/>
      <c r="P303" s="821"/>
      <c r="AJ303" s="3"/>
    </row>
    <row r="304" spans="14:36" hidden="1" x14ac:dyDescent="0.25">
      <c r="N304" s="821"/>
      <c r="O304" s="821"/>
      <c r="P304" s="821"/>
      <c r="AJ304" s="3"/>
    </row>
    <row r="305" spans="14:36" hidden="1" x14ac:dyDescent="0.25">
      <c r="N305" s="821"/>
      <c r="O305" s="821"/>
      <c r="P305" s="821"/>
      <c r="AJ305" s="3"/>
    </row>
    <row r="306" spans="14:36" hidden="1" x14ac:dyDescent="0.25">
      <c r="N306" s="821"/>
      <c r="O306" s="821"/>
      <c r="P306" s="821"/>
      <c r="AJ306" s="3"/>
    </row>
    <row r="307" spans="14:36" hidden="1" x14ac:dyDescent="0.25">
      <c r="N307" s="821"/>
      <c r="O307" s="821"/>
      <c r="P307" s="821"/>
      <c r="AJ307" s="3"/>
    </row>
    <row r="308" spans="14:36" hidden="1" x14ac:dyDescent="0.25">
      <c r="N308" s="821"/>
      <c r="O308" s="821"/>
      <c r="P308" s="821"/>
      <c r="AJ308" s="3"/>
    </row>
    <row r="309" spans="14:36" hidden="1" x14ac:dyDescent="0.25">
      <c r="N309" s="821"/>
      <c r="O309" s="821"/>
      <c r="P309" s="821"/>
      <c r="AJ309" s="3"/>
    </row>
    <row r="310" spans="14:36" hidden="1" x14ac:dyDescent="0.25">
      <c r="N310" s="821"/>
      <c r="O310" s="821"/>
      <c r="P310" s="821"/>
      <c r="AJ310" s="3"/>
    </row>
    <row r="311" spans="14:36" hidden="1" x14ac:dyDescent="0.25">
      <c r="N311" s="821"/>
      <c r="O311" s="821"/>
      <c r="P311" s="821"/>
      <c r="AJ311" s="3"/>
    </row>
    <row r="312" spans="14:36" hidden="1" x14ac:dyDescent="0.25">
      <c r="N312" s="821"/>
      <c r="O312" s="821"/>
      <c r="P312" s="821"/>
      <c r="AJ312" s="3"/>
    </row>
    <row r="313" spans="14:36" hidden="1" x14ac:dyDescent="0.25">
      <c r="N313" s="821"/>
      <c r="O313" s="821"/>
      <c r="P313" s="821"/>
      <c r="AJ313" s="3"/>
    </row>
    <row r="314" spans="14:36" hidden="1" x14ac:dyDescent="0.25">
      <c r="N314" s="821"/>
      <c r="O314" s="821"/>
      <c r="P314" s="821"/>
      <c r="AJ314" s="3"/>
    </row>
    <row r="315" spans="14:36" hidden="1" x14ac:dyDescent="0.25">
      <c r="N315" s="821"/>
      <c r="O315" s="821"/>
      <c r="P315" s="821"/>
      <c r="AJ315" s="3"/>
    </row>
    <row r="316" spans="14:36" hidden="1" x14ac:dyDescent="0.25">
      <c r="N316" s="821"/>
      <c r="O316" s="821"/>
      <c r="P316" s="821"/>
      <c r="AJ316" s="3"/>
    </row>
    <row r="317" spans="14:36" hidden="1" x14ac:dyDescent="0.25">
      <c r="N317" s="821"/>
      <c r="O317" s="821"/>
      <c r="P317" s="821"/>
      <c r="AJ317" s="7"/>
    </row>
    <row r="318" spans="14:36" hidden="1" x14ac:dyDescent="0.25">
      <c r="N318" s="821"/>
      <c r="O318" s="821"/>
      <c r="P318" s="821"/>
    </row>
    <row r="319" spans="14:36" hidden="1" x14ac:dyDescent="0.25">
      <c r="N319" s="821"/>
      <c r="O319" s="821"/>
      <c r="P319" s="821"/>
    </row>
    <row r="320" spans="14:36" hidden="1" x14ac:dyDescent="0.25">
      <c r="N320" s="821"/>
      <c r="O320" s="821"/>
      <c r="P320" s="821"/>
    </row>
    <row r="321" spans="14:16" hidden="1" x14ac:dyDescent="0.25">
      <c r="N321" s="821"/>
      <c r="O321" s="821"/>
      <c r="P321" s="821"/>
    </row>
    <row r="322" spans="14:16" hidden="1" x14ac:dyDescent="0.25">
      <c r="N322" s="821"/>
      <c r="O322" s="821"/>
      <c r="P322" s="821"/>
    </row>
    <row r="323" spans="14:16" hidden="1" x14ac:dyDescent="0.25">
      <c r="N323" s="821"/>
      <c r="O323" s="821"/>
      <c r="P323" s="821"/>
    </row>
    <row r="324" spans="14:16" hidden="1" x14ac:dyDescent="0.25">
      <c r="N324" s="821"/>
      <c r="O324" s="821"/>
      <c r="P324" s="821"/>
    </row>
    <row r="325" spans="14:16" hidden="1" x14ac:dyDescent="0.25">
      <c r="N325" s="821"/>
      <c r="O325" s="821"/>
      <c r="P325" s="821"/>
    </row>
    <row r="326" spans="14:16" hidden="1" x14ac:dyDescent="0.25">
      <c r="N326" s="821"/>
      <c r="O326" s="821"/>
      <c r="P326" s="821"/>
    </row>
    <row r="327" spans="14:16" hidden="1" x14ac:dyDescent="0.25">
      <c r="N327" s="821"/>
      <c r="O327" s="821"/>
      <c r="P327" s="821"/>
    </row>
    <row r="328" spans="14:16" hidden="1" x14ac:dyDescent="0.25">
      <c r="N328" s="821"/>
      <c r="O328" s="821"/>
      <c r="P328" s="821"/>
    </row>
    <row r="329" spans="14:16" hidden="1" x14ac:dyDescent="0.25">
      <c r="N329" s="821"/>
      <c r="O329" s="821"/>
      <c r="P329" s="821"/>
    </row>
    <row r="330" spans="14:16" hidden="1" x14ac:dyDescent="0.25">
      <c r="N330" s="821"/>
      <c r="O330" s="821"/>
      <c r="P330" s="821"/>
    </row>
    <row r="331" spans="14:16" hidden="1" x14ac:dyDescent="0.25">
      <c r="N331" s="821"/>
      <c r="O331" s="821"/>
      <c r="P331" s="821"/>
    </row>
    <row r="332" spans="14:16" x14ac:dyDescent="0.25">
      <c r="N332" s="821"/>
      <c r="O332" s="821"/>
      <c r="P332" s="821"/>
    </row>
    <row r="333" spans="14:16" x14ac:dyDescent="0.25">
      <c r="N333" s="821"/>
      <c r="O333" s="821"/>
      <c r="P333" s="821"/>
    </row>
    <row r="334" spans="14:16" x14ac:dyDescent="0.25">
      <c r="N334" s="821"/>
      <c r="O334" s="821"/>
      <c r="P334" s="821"/>
    </row>
    <row r="335" spans="14:16" x14ac:dyDescent="0.25">
      <c r="N335" s="821"/>
      <c r="O335" s="821"/>
      <c r="P335" s="821"/>
    </row>
    <row r="336" spans="14:16" x14ac:dyDescent="0.25">
      <c r="N336" s="821"/>
      <c r="O336" s="821"/>
      <c r="P336" s="821"/>
    </row>
    <row r="337" spans="14:16" x14ac:dyDescent="0.25">
      <c r="N337" s="821"/>
      <c r="O337" s="821"/>
      <c r="P337" s="821"/>
    </row>
    <row r="338" spans="14:16" x14ac:dyDescent="0.25">
      <c r="N338" s="821"/>
      <c r="O338" s="821"/>
      <c r="P338" s="821"/>
    </row>
    <row r="339" spans="14:16" x14ac:dyDescent="0.25">
      <c r="N339" s="821"/>
      <c r="O339" s="821"/>
      <c r="P339" s="821"/>
    </row>
    <row r="340" spans="14:16" x14ac:dyDescent="0.25">
      <c r="N340" s="821"/>
      <c r="O340" s="821"/>
      <c r="P340" s="821"/>
    </row>
    <row r="341" spans="14:16" x14ac:dyDescent="0.25">
      <c r="N341" s="821"/>
      <c r="O341" s="821"/>
      <c r="P341" s="821"/>
    </row>
    <row r="342" spans="14:16" x14ac:dyDescent="0.25">
      <c r="N342" s="821"/>
      <c r="O342" s="821"/>
      <c r="P342" s="821"/>
    </row>
    <row r="343" spans="14:16" x14ac:dyDescent="0.25">
      <c r="N343" s="821"/>
      <c r="O343" s="821"/>
      <c r="P343" s="821"/>
    </row>
    <row r="344" spans="14:16" x14ac:dyDescent="0.25">
      <c r="N344" s="821"/>
      <c r="O344" s="821"/>
      <c r="P344" s="821"/>
    </row>
    <row r="345" spans="14:16" x14ac:dyDescent="0.25">
      <c r="N345" s="821"/>
      <c r="O345" s="821"/>
      <c r="P345" s="821"/>
    </row>
    <row r="346" spans="14:16" x14ac:dyDescent="0.25">
      <c r="N346" s="821"/>
      <c r="O346" s="821"/>
      <c r="P346" s="821"/>
    </row>
    <row r="347" spans="14:16" x14ac:dyDescent="0.25">
      <c r="N347" s="821"/>
      <c r="O347" s="821"/>
      <c r="P347" s="821"/>
    </row>
    <row r="348" spans="14:16" x14ac:dyDescent="0.25">
      <c r="N348" s="821"/>
      <c r="O348" s="821"/>
      <c r="P348" s="821"/>
    </row>
    <row r="349" spans="14:16" x14ac:dyDescent="0.25">
      <c r="N349" s="821"/>
      <c r="O349" s="821"/>
      <c r="P349" s="821"/>
    </row>
    <row r="384" spans="5:26" ht="15.75" x14ac:dyDescent="0.25">
      <c r="E384" s="6"/>
      <c r="F384" s="6"/>
      <c r="G384" s="6"/>
      <c r="H384" s="6"/>
      <c r="I384" s="6"/>
      <c r="J384" s="6"/>
      <c r="K384" s="6"/>
      <c r="L384" s="25"/>
      <c r="N384" s="762"/>
      <c r="O384" s="762"/>
      <c r="P384" s="762"/>
      <c r="Q384" s="762"/>
      <c r="R384" s="762"/>
      <c r="S384" s="762"/>
      <c r="U384" s="263"/>
      <c r="V384" s="263"/>
      <c r="W384" s="263"/>
      <c r="X384" s="263"/>
      <c r="Y384" s="263"/>
      <c r="Z384" s="762"/>
    </row>
  </sheetData>
  <sheetProtection algorithmName="SHA-512" hashValue="K8KJrOzWs5yGEJhacIz5G5i9f4hLfopTqi/W1t8tPfThSxOQ+65EEPcbJJXn8VgvAjLSSNhrSu7HN26qtFxV9w==" saltValue="lX6I7Hfr22nEY3eBBdABRA==" spinCount="100000" sheet="1" formatCells="0" formatColumns="0" formatRows="0" selectLockedCells="1" sort="0" autoFilter="0"/>
  <protectedRanges>
    <protectedRange sqref="M11:N11 M17:N20 M27:N27 M31:N31 D11:F11 D17:D20 D27 D31 D36:O36 C41:D41 D42:D45 B37:O37 E12:F24 G12:K16 G18:K19 H11:K11 G21:K24 G28:K30 G32:K34 N12:N16 N21:N24 N28:N30 N32:N34 H17:K17 H20:K20 H27:K27 H31:K31 D35:N35 Z11:AB11 H38:K38 D66:F66 H66:K66 D95:F95 H95:K95 H104:K104 D118:F118 H118:K118 D148:F148 H148:K148 D163:F163 H163:K163 D194:F194 H194:K194 D46:F46 H46:K46 D51:F51 H51:K51 D55:F55 H55:K55 D58:F58 H58:K58 D61:F61 H61:K61 D73:F73 H73:K73 D77:F77 H77:K77 D80:F80 H80:K80 D83:F83 H83:K83 D87:F87 H87:K87 D90:F90 H90:K90 D98:F98 H98:K98 D107:F107 H107:K107 D109:F109 H109:K109 D113:F113 H113:K113 D122:F122 H122:K122 D126:F126 H126:K126 D130:F130 H130:K130 H136:K136 D141:F141 H141:K141 D154:F154 H154:K154 D156:F156 H156:K156 D158:F158 H158:K158 D166:F166 H166:K166 D170:F170 H170:K170 D173:F173 H173:K173 D177:F177 H177:K177 D181:F181 H181:K181 D183:F183 H183:K183 D186:F186 H186:K186 D199:F199 H199:K199 D202:F202 H202:K202 D205:F205 H205:K205 E41:K45 D52:K54 D59:K60 D62:K62 D74:K76 D78:K79 D81:K82 D88:K89 D91:K91 E96:K97 D108:K108 D110:K112 D114:K114 M104:O104 E121:K121 E138:K140 E142:K144 D155:K155 D157:K157 D159:K159 M148:O148 D182:K182 D200:K201 D203:K204 D206:K207 AC95:AF98 AC118:AF134 A249:A251 E47:K50 D56:K57 D119:K120 E123:K125 E127:K129 D167:K169 D171:K172 D174:K176 D178:K180 D184:K185 D63:O65 D92:O94 D101:O103 D115:O117 D145:O147 D160:O162 D191:O193 D208:O224 M38:O38 M118:O136 D131:K135 D195:K198 M194:O207 E27:F34 O27:O35 E25:K26 N25:O26 B11:C36 D84:K86 D99:K100 M95:O100 AC11:AF38 M163:O164 O11:P13 B225:O225 S213:V225 O14:O24 P14:P38 Z213:AF225 M66:O69 AA17:AB20 AA27:AB27 AA31:AB31 AA66:AB66 AA95:AB95 AA148:AB149 AA122:AB122 AA126:AB126 AA141:AB141 AA73:AB84 AA98:AB98 AA154:AB159 AA51:AB62 AA118:AB120 AA130:AB134 AA136:AB137 AA135:AF135 AA35:AB38 AA63:AF65 AA85:AF94 AA145:AF147 B226:AF226 Q11:R104 A9:AF10 A244:AF247 B235:AF235 A253:AF258 A227:AF230 B250:AF251 B38:F38 M41:O62 P41:P69 AC41:AF62 AA41:AB46 D187:K190 M190:O190 P190:P225 W190:W225 T190:V212 M154:O159 P154:R164 C42:C224 D164:K165 Q166:R225 M166:P189 M165:R165 X166:Y225 T166:W189 AA160:AF212 E67:K72 M71:O91 P71:P104 AC66:AF84 M70:P70 D104:F104 P106:R136 AA99:AF117 AC148:AF159 B41:B224 D136:F136 M138:O144 P138:R148 D137:K137 M137:R137 AC136:AF144 B39:K40 M39:P40 AA39:AF40 E150:K153 D149:K149 M149:R153 M106:O114 M105:R105 D105:K106 A11:A226 T11:Y165" name="Sortering"/>
    <protectedRange sqref="L38:L62 L104:L114 L194:L207 L11:L34 L66 L95:L100 L163:L190 L68:L91 L148:L159 L118:L144" name="Sortering_1"/>
    <protectedRange sqref="S11" name="Sortering_5"/>
    <protectedRange sqref="S20 S27 S31 S35:S37 S63:S65 S92:S94 S101:S103 S115:S117 S145:S147 S160:S162 S191:S193 S208:S212" name="Sortering_2"/>
    <protectedRange sqref="S38:S40 S66 S95 S104 S118 S148 S163 S194" name="Sortering_5_1"/>
    <protectedRange sqref="S12:S19 S28:S30 S32:S34 S41:S62 S195:S207 S21:S26 S67:S91 S96:S100 S164:S190 L67 Z67 S105:S114 S149:S159 S119:S144" name="Sortering_6_1"/>
    <protectedRange sqref="Z12:Z66 Z68:Z212" name="Sortering_3"/>
  </protectedRanges>
  <autoFilter ref="A9:AF226" xr:uid="{00000000-0009-0000-0000-000002000000}">
    <sortState xmlns:xlrd2="http://schemas.microsoft.com/office/spreadsheetml/2017/richdata2" ref="A10:AF226">
      <sortCondition ref="A9:A226"/>
    </sortState>
  </autoFilter>
  <mergeCells count="5">
    <mergeCell ref="AD8:AF8"/>
    <mergeCell ref="G3:K3"/>
    <mergeCell ref="N3:S3"/>
    <mergeCell ref="U3:Z3"/>
    <mergeCell ref="AB4:AB8"/>
  </mergeCells>
  <phoneticPr fontId="22" type="noConversion"/>
  <conditionalFormatting sqref="J210:K219 J145:K147 J191:K193 J10:K11 J35:K37 J101:K103 J244:K247 J253:K258 J63:K65 J92:K94 J115:K117 J160:K162 J195:K195 J250:K251 J235:K235 J171:K172 J27:K33 J86:K86 K133:K134">
    <cfRule type="expression" dxfId="4035" priority="4662">
      <formula>$AD10=4</formula>
    </cfRule>
    <cfRule type="expression" dxfId="4034" priority="4663">
      <formula>$AD10=3</formula>
    </cfRule>
    <cfRule type="expression" dxfId="4033" priority="4664">
      <formula>$AD10=2</formula>
    </cfRule>
    <cfRule type="expression" dxfId="4032" priority="4665">
      <formula>$AD10=1</formula>
    </cfRule>
  </conditionalFormatting>
  <conditionalFormatting sqref="Q210:R219 Q146:R147 Q192:R193 Q10:R11 Q17:R20 Q27:R27 Q35:R37 Q102:R103 Q31:R31 Q244:R247 Q253:R258 Q64:R65 Q93:R94 Q116:R117 Q161:R162 Q195:R195 Q250:R251 Q235:R235 Q171:R172 Q86:R86">
    <cfRule type="expression" dxfId="4031" priority="4658">
      <formula>$AE10=4</formula>
    </cfRule>
    <cfRule type="expression" dxfId="4030" priority="4659">
      <formula>$AE10=3</formula>
    </cfRule>
    <cfRule type="expression" dxfId="4029" priority="4660">
      <formula>$AE10=2</formula>
    </cfRule>
    <cfRule type="expression" dxfId="4028" priority="4661">
      <formula>$AE10=1</formula>
    </cfRule>
  </conditionalFormatting>
  <conditionalFormatting sqref="X210:Y219 X145:Y147 X191:Y193 X10:Y11 X17:Y20 X27:Y27 X35:Y37 X101:Y103 X31:Y31 X244:Y247 X253:Y258 X63:Y65 X92:Y94 X115:Y117 X160:Y162 X195:Y195 X250:Y251 X235:Y235 X171:Y172 X86:Y86">
    <cfRule type="expression" dxfId="4027" priority="4654">
      <formula>$AF10=4</formula>
    </cfRule>
    <cfRule type="expression" dxfId="4026" priority="4655">
      <formula>$AF10=3</formula>
    </cfRule>
    <cfRule type="expression" dxfId="4025" priority="4656">
      <formula>$AF10=2</formula>
    </cfRule>
    <cfRule type="expression" dxfId="4024" priority="4657">
      <formula>$AF10=1</formula>
    </cfRule>
  </conditionalFormatting>
  <conditionalFormatting sqref="J208:K209">
    <cfRule type="expression" dxfId="4023" priority="4566">
      <formula>$AD208=4</formula>
    </cfRule>
    <cfRule type="expression" dxfId="4022" priority="4567">
      <formula>$AD208=3</formula>
    </cfRule>
    <cfRule type="expression" dxfId="4021" priority="4568">
      <formula>$AD208=2</formula>
    </cfRule>
    <cfRule type="expression" dxfId="4020" priority="4569">
      <formula>$AD208=1</formula>
    </cfRule>
  </conditionalFormatting>
  <conditionalFormatting sqref="Q209:R209">
    <cfRule type="expression" dxfId="4019" priority="4562">
      <formula>$AE209=4</formula>
    </cfRule>
    <cfRule type="expression" dxfId="4018" priority="4563">
      <formula>$AE209=3</formula>
    </cfRule>
    <cfRule type="expression" dxfId="4017" priority="4564">
      <formula>$AE209=2</formula>
    </cfRule>
    <cfRule type="expression" dxfId="4016" priority="4565">
      <formula>$AE209=1</formula>
    </cfRule>
  </conditionalFormatting>
  <conditionalFormatting sqref="X208:Y209">
    <cfRule type="expression" dxfId="4015" priority="4558">
      <formula>$AF208=4</formula>
    </cfRule>
    <cfRule type="expression" dxfId="4014" priority="4559">
      <formula>$AF208=3</formula>
    </cfRule>
    <cfRule type="expression" dxfId="4013" priority="4560">
      <formula>$AF208=2</formula>
    </cfRule>
    <cfRule type="expression" dxfId="4012" priority="4561">
      <formula>$AF208=1</formula>
    </cfRule>
  </conditionalFormatting>
  <conditionalFormatting sqref="J225:K226">
    <cfRule type="expression" dxfId="4011" priority="4554">
      <formula>$AD225=4</formula>
    </cfRule>
    <cfRule type="expression" dxfId="4010" priority="4555">
      <formula>$AD225=3</formula>
    </cfRule>
    <cfRule type="expression" dxfId="4009" priority="4556">
      <formula>$AD225=2</formula>
    </cfRule>
    <cfRule type="expression" dxfId="4008" priority="4557">
      <formula>$AD225=1</formula>
    </cfRule>
  </conditionalFormatting>
  <conditionalFormatting sqref="Q226:R226">
    <cfRule type="expression" dxfId="4007" priority="4550">
      <formula>$AE226=4</formula>
    </cfRule>
    <cfRule type="expression" dxfId="4006" priority="4551">
      <formula>$AE226=3</formula>
    </cfRule>
    <cfRule type="expression" dxfId="4005" priority="4552">
      <formula>$AE226=2</formula>
    </cfRule>
    <cfRule type="expression" dxfId="4004" priority="4553">
      <formula>$AE226=1</formula>
    </cfRule>
  </conditionalFormatting>
  <conditionalFormatting sqref="X225:Y226">
    <cfRule type="expression" dxfId="4003" priority="4546">
      <formula>$AF225=4</formula>
    </cfRule>
    <cfRule type="expression" dxfId="4002" priority="4547">
      <formula>$AF225=3</formula>
    </cfRule>
    <cfRule type="expression" dxfId="4001" priority="4548">
      <formula>$AF225=2</formula>
    </cfRule>
    <cfRule type="expression" dxfId="4000" priority="4549">
      <formula>$AF225=1</formula>
    </cfRule>
  </conditionalFormatting>
  <conditionalFormatting sqref="G145:L147 G191:L193 Z225 G225:L225 G10:L10 N10:S10 N36:O37 G35:L37 N102:O103 AZ141 G101:L103 H11:K11 N18:N19 L220:L223 U10:Y10 U102:V103 Z213:Z219 AZ10:AZ11 AZ17:AZ20 AZ244 G244:L244 U244:Z244 S244:S245 AZ27 N244:R246 K245:K246 G245:G246 U245:W246 AZ35:AZ46 AZ246:AZ247 AZ31 N247:S247 U247:Z247 G247:L247 AZ51:AZ66 AZ73:AZ84 AZ250:AZ251 N250:S251 U250:Z251 G250:L251 U253:W253 AZ98 AZ122 G253 AZ130:AZ134 AZ126 U146:V147 N146:O147 U254:Z257 G254:L257 AZ145:AZ149 AZ253:AZ258 U258:W258 G258 N253:S258 G21:G24 G28:G30 G32:G34 H12:I24 N35 G63:L65 U64:V65 N64:O65 U93:V94 N93:O94 G92:L94 N116:O117 G115:L117 U116:V117 G160:L162 N161:O162 U161:V162 N192:O193 U192:V193 G208:L219 U209:V210 N209:O210 G195:L195 N195:O195 U195:V195 N235:P235 U235:W235 G235 AZ199:AZ225 N63 N92 N101 N115 N145 N160 N191 N208 AZ136:AZ137 H27:I34 AZ86:AZ95 AZ100:AZ120 AZ154:AZ195 O171:O172 V171:V172 H171:L172 G224:I224 L15:L24 J27:L33 Z10:Z11 O27:O35 V20 V27 V31 U35:V37 V17 X47:Y50 X52:Y54 X56:Y57 X59:Y60 H41:I62 X74:Y76 X78:Y79 X81:Y82 J86:L86 G86 N86:O86 U86:V86 X88:Y89 X108:Y108 X110:Y112 H106:I114 X123:Y125 X127:Y129 K133:K134 X138:Y140 X155:Y155 X157:Y157 H150:I152 X167:Y169 H164:I164 X174:Y176 X178:Y180 X182:Y182 X184:Y185 X200:Y201 X203:Y204 H199:I207 N211:N225 V196 U63 U92 U101 U115 U145 U160 U191 U208 U211:U225 X131:Y135 H119:I136 G197:L198 N197:O198 U197:V198 X84:Y86 H67:I69 H96:I100 S213:S224 Q192:R207 Q161:R164 Q116:R136 Q93:R100 Q64:R91 Q146:R148 Q102:R104 Q11:R62 X171:Y172 X206:Y225 X187:Y198 X159:Y164 X114:Y121 X91:Y97 X62:Y72 X142:Y148 X100:Y104 X16:Y45 Q209:R224 X11:Y14 Q225:S225 H173:I190 H154:I159 Q154:R159 H166:I170 Q166:R190 R165 H71:I91 X106:Y106 Q106:R114 X150:Y152 Q150:R152 Q138:R144 H138:I144">
    <cfRule type="expression" dxfId="3999" priority="4545">
      <formula>$AC10=2</formula>
    </cfRule>
  </conditionalFormatting>
  <conditionalFormatting sqref="G145:G147 G191:G193 G225 G10 G35:G37 G101:G103 G255 G63:G65 G92:G94 G115:G117 G160:G162 G208:G219 G195">
    <cfRule type="expression" dxfId="3998" priority="4542">
      <formula>G10&gt;F10</formula>
    </cfRule>
  </conditionalFormatting>
  <conditionalFormatting sqref="N146:O147 N192:O193 N225 N10:P10 N18:N19 N36:O37 N102:O103 N255:P255 N35 N64:O65 N93:O94 N116:O117 N161:O162 N209:O210 N195 N211:N219 N63 N92 N101 N115 N145 N160 N191 N208">
    <cfRule type="expression" dxfId="3997" priority="4541">
      <formula>N10&gt;F10</formula>
    </cfRule>
  </conditionalFormatting>
  <conditionalFormatting sqref="U146:V147 U192:V193 U10:W10 U36:V37 U102:V103 U255:W255 U35 U64:V65 U93:V94 U116:V117 U161:V162 U209:V210 U195 U211:U219 U86">
    <cfRule type="expression" dxfId="3996" priority="4540">
      <formula>U10&gt;F10</formula>
    </cfRule>
  </conditionalFormatting>
  <conditionalFormatting sqref="N4:P4">
    <cfRule type="expression" dxfId="3995" priority="4534">
      <formula>$S$8="No"</formula>
    </cfRule>
  </conditionalFormatting>
  <conditionalFormatting sqref="U4:W4">
    <cfRule type="expression" dxfId="3994" priority="4533">
      <formula>$Z$8="No"</formula>
    </cfRule>
  </conditionalFormatting>
  <conditionalFormatting sqref="AB10:AB11 AB17:AB20 AB27 AB31 AB35:AB38 AB51:AB66 AB73:AB84 AB98 AB122 AB126 AB130:AB134 AB141 AB145:AB149 AB136:AB137 AB86:AB95 AB100:AB120 AB253:AB258 AB250:AB251 AB235 AB244:AB247 AB154:AB225 AB41:AB46">
    <cfRule type="expression" dxfId="3993" priority="4468">
      <formula>$AJ$4="Nei"</formula>
    </cfRule>
    <cfRule type="expression" dxfId="3992" priority="4469">
      <formula>$AC10=2</formula>
    </cfRule>
  </conditionalFormatting>
  <conditionalFormatting sqref="AB4">
    <cfRule type="expression" dxfId="3991" priority="4466">
      <formula>$AJ$4=ais_nei</formula>
    </cfRule>
  </conditionalFormatting>
  <conditionalFormatting sqref="O109">
    <cfRule type="expression" dxfId="3990" priority="2883">
      <formula>$AC109=2</formula>
    </cfRule>
  </conditionalFormatting>
  <conditionalFormatting sqref="J109:K109">
    <cfRule type="expression" dxfId="3989" priority="2885">
      <formula>$AC109=2</formula>
    </cfRule>
  </conditionalFormatting>
  <conditionalFormatting sqref="J220">
    <cfRule type="expression" dxfId="3988" priority="4340">
      <formula>$AD220=4</formula>
    </cfRule>
    <cfRule type="expression" dxfId="3987" priority="4341">
      <formula>$AD220=3</formula>
    </cfRule>
    <cfRule type="expression" dxfId="3986" priority="4342">
      <formula>$AD220=2</formula>
    </cfRule>
    <cfRule type="expression" dxfId="3985" priority="4343">
      <formula>$AD220=1</formula>
    </cfRule>
  </conditionalFormatting>
  <conditionalFormatting sqref="Q220:R220">
    <cfRule type="expression" dxfId="3984" priority="4336">
      <formula>$AE220=4</formula>
    </cfRule>
    <cfRule type="expression" dxfId="3983" priority="4337">
      <formula>$AE220=3</formula>
    </cfRule>
    <cfRule type="expression" dxfId="3982" priority="4338">
      <formula>$AE220=2</formula>
    </cfRule>
    <cfRule type="expression" dxfId="3981" priority="4339">
      <formula>$AE220=1</formula>
    </cfRule>
  </conditionalFormatting>
  <conditionalFormatting sqref="X220:Y220">
    <cfRule type="expression" dxfId="3980" priority="4332">
      <formula>$AF220=4</formula>
    </cfRule>
    <cfRule type="expression" dxfId="3979" priority="4333">
      <formula>$AF220=3</formula>
    </cfRule>
    <cfRule type="expression" dxfId="3978" priority="4334">
      <formula>$AF220=2</formula>
    </cfRule>
    <cfRule type="expression" dxfId="3977" priority="4335">
      <formula>$AF220=1</formula>
    </cfRule>
  </conditionalFormatting>
  <conditionalFormatting sqref="G220:J220">
    <cfRule type="expression" dxfId="3976" priority="4331">
      <formula>$AC220=2</formula>
    </cfRule>
  </conditionalFormatting>
  <conditionalFormatting sqref="G220">
    <cfRule type="expression" dxfId="3975" priority="4330">
      <formula>G220&gt;F220</formula>
    </cfRule>
  </conditionalFormatting>
  <conditionalFormatting sqref="N220">
    <cfRule type="expression" dxfId="3974" priority="4329">
      <formula>N220&gt;F220</formula>
    </cfRule>
  </conditionalFormatting>
  <conditionalFormatting sqref="U220">
    <cfRule type="expression" dxfId="3973" priority="4328">
      <formula>U220&gt;F220</formula>
    </cfRule>
  </conditionalFormatting>
  <conditionalFormatting sqref="J221">
    <cfRule type="expression" dxfId="3972" priority="4320">
      <formula>$AD221=4</formula>
    </cfRule>
    <cfRule type="expression" dxfId="3971" priority="4321">
      <formula>$AD221=3</formula>
    </cfRule>
    <cfRule type="expression" dxfId="3970" priority="4322">
      <formula>$AD221=2</formula>
    </cfRule>
    <cfRule type="expression" dxfId="3969" priority="4323">
      <formula>$AD221=1</formula>
    </cfRule>
  </conditionalFormatting>
  <conditionalFormatting sqref="Q221:R221">
    <cfRule type="expression" dxfId="3968" priority="4316">
      <formula>$AE221=4</formula>
    </cfRule>
    <cfRule type="expression" dxfId="3967" priority="4317">
      <formula>$AE221=3</formula>
    </cfRule>
    <cfRule type="expression" dxfId="3966" priority="4318">
      <formula>$AE221=2</formula>
    </cfRule>
    <cfRule type="expression" dxfId="3965" priority="4319">
      <formula>$AE221=1</formula>
    </cfRule>
  </conditionalFormatting>
  <conditionalFormatting sqref="X221:Y221">
    <cfRule type="expression" dxfId="3964" priority="4312">
      <formula>$AF221=4</formula>
    </cfRule>
    <cfRule type="expression" dxfId="3963" priority="4313">
      <formula>$AF221=3</formula>
    </cfRule>
    <cfRule type="expression" dxfId="3962" priority="4314">
      <formula>$AF221=2</formula>
    </cfRule>
    <cfRule type="expression" dxfId="3961" priority="4315">
      <formula>$AF221=1</formula>
    </cfRule>
  </conditionalFormatting>
  <conditionalFormatting sqref="G221:J221">
    <cfRule type="expression" dxfId="3960" priority="4311">
      <formula>$AC221=2</formula>
    </cfRule>
  </conditionalFormatting>
  <conditionalFormatting sqref="G221">
    <cfRule type="expression" dxfId="3959" priority="4310">
      <formula>G221&gt;F221</formula>
    </cfRule>
  </conditionalFormatting>
  <conditionalFormatting sqref="N221">
    <cfRule type="expression" dxfId="3958" priority="4309">
      <formula>N221&gt;F221</formula>
    </cfRule>
  </conditionalFormatting>
  <conditionalFormatting sqref="U221">
    <cfRule type="expression" dxfId="3957" priority="4308">
      <formula>U221&gt;F221</formula>
    </cfRule>
  </conditionalFormatting>
  <conditionalFormatting sqref="J222">
    <cfRule type="expression" dxfId="3956" priority="4300">
      <formula>$AD222=4</formula>
    </cfRule>
    <cfRule type="expression" dxfId="3955" priority="4301">
      <formula>$AD222=3</formula>
    </cfRule>
    <cfRule type="expression" dxfId="3954" priority="4302">
      <formula>$AD222=2</formula>
    </cfRule>
    <cfRule type="expression" dxfId="3953" priority="4303">
      <formula>$AD222=1</formula>
    </cfRule>
  </conditionalFormatting>
  <conditionalFormatting sqref="Q222:R222">
    <cfRule type="expression" dxfId="3952" priority="4296">
      <formula>$AE222=4</formula>
    </cfRule>
    <cfRule type="expression" dxfId="3951" priority="4297">
      <formula>$AE222=3</formula>
    </cfRule>
    <cfRule type="expression" dxfId="3950" priority="4298">
      <formula>$AE222=2</formula>
    </cfRule>
    <cfRule type="expression" dxfId="3949" priority="4299">
      <formula>$AE222=1</formula>
    </cfRule>
  </conditionalFormatting>
  <conditionalFormatting sqref="X222:Y222">
    <cfRule type="expression" dxfId="3948" priority="4292">
      <formula>$AF222=4</formula>
    </cfRule>
    <cfRule type="expression" dxfId="3947" priority="4293">
      <formula>$AF222=3</formula>
    </cfRule>
    <cfRule type="expression" dxfId="3946" priority="4294">
      <formula>$AF222=2</formula>
    </cfRule>
    <cfRule type="expression" dxfId="3945" priority="4295">
      <formula>$AF222=1</formula>
    </cfRule>
  </conditionalFormatting>
  <conditionalFormatting sqref="G222:J222">
    <cfRule type="expression" dxfId="3944" priority="4291">
      <formula>$AC222=2</formula>
    </cfRule>
  </conditionalFormatting>
  <conditionalFormatting sqref="G222">
    <cfRule type="expression" dxfId="3943" priority="4290">
      <formula>G222&gt;F222</formula>
    </cfRule>
  </conditionalFormatting>
  <conditionalFormatting sqref="N222">
    <cfRule type="expression" dxfId="3942" priority="4289">
      <formula>N222&gt;F222</formula>
    </cfRule>
  </conditionalFormatting>
  <conditionalFormatting sqref="U222">
    <cfRule type="expression" dxfId="3941" priority="4288">
      <formula>U222&gt;F222</formula>
    </cfRule>
  </conditionalFormatting>
  <conditionalFormatting sqref="J223">
    <cfRule type="expression" dxfId="3940" priority="4280">
      <formula>$AD223=4</formula>
    </cfRule>
    <cfRule type="expression" dxfId="3939" priority="4281">
      <formula>$AD223=3</formula>
    </cfRule>
    <cfRule type="expression" dxfId="3938" priority="4282">
      <formula>$AD223=2</formula>
    </cfRule>
    <cfRule type="expression" dxfId="3937" priority="4283">
      <formula>$AD223=1</formula>
    </cfRule>
  </conditionalFormatting>
  <conditionalFormatting sqref="Q223:R223">
    <cfRule type="expression" dxfId="3936" priority="4276">
      <formula>$AE223=4</formula>
    </cfRule>
    <cfRule type="expression" dxfId="3935" priority="4277">
      <formula>$AE223=3</formula>
    </cfRule>
    <cfRule type="expression" dxfId="3934" priority="4278">
      <formula>$AE223=2</formula>
    </cfRule>
    <cfRule type="expression" dxfId="3933" priority="4279">
      <formula>$AE223=1</formula>
    </cfRule>
  </conditionalFormatting>
  <conditionalFormatting sqref="X223:Y223">
    <cfRule type="expression" dxfId="3932" priority="4272">
      <formula>$AF223=4</formula>
    </cfRule>
    <cfRule type="expression" dxfId="3931" priority="4273">
      <formula>$AF223=3</formula>
    </cfRule>
    <cfRule type="expression" dxfId="3930" priority="4274">
      <formula>$AF223=2</formula>
    </cfRule>
    <cfRule type="expression" dxfId="3929" priority="4275">
      <formula>$AF223=1</formula>
    </cfRule>
  </conditionalFormatting>
  <conditionalFormatting sqref="G223:J223">
    <cfRule type="expression" dxfId="3928" priority="4271">
      <formula>$AC223=2</formula>
    </cfRule>
  </conditionalFormatting>
  <conditionalFormatting sqref="G223:G224">
    <cfRule type="expression" dxfId="3927" priority="4270">
      <formula>G223&gt;F223</formula>
    </cfRule>
  </conditionalFormatting>
  <conditionalFormatting sqref="N223">
    <cfRule type="expression" dxfId="3926" priority="4269">
      <formula>N223&gt;F223</formula>
    </cfRule>
  </conditionalFormatting>
  <conditionalFormatting sqref="U223">
    <cfRule type="expression" dxfId="3925" priority="4268">
      <formula>U223&gt;F223</formula>
    </cfRule>
  </conditionalFormatting>
  <conditionalFormatting sqref="G254">
    <cfRule type="expression" dxfId="3924" priority="4250">
      <formula>G254&gt;F254</formula>
    </cfRule>
  </conditionalFormatting>
  <conditionalFormatting sqref="N254:P254">
    <cfRule type="expression" dxfId="3923" priority="4249">
      <formula>N254&gt;F254</formula>
    </cfRule>
  </conditionalFormatting>
  <conditionalFormatting sqref="U254:W254">
    <cfRule type="expression" dxfId="3922" priority="4248">
      <formula>U254&gt;F254</formula>
    </cfRule>
  </conditionalFormatting>
  <conditionalFormatting sqref="G250">
    <cfRule type="expression" dxfId="3921" priority="4240">
      <formula>G250&gt;F250</formula>
    </cfRule>
  </conditionalFormatting>
  <conditionalFormatting sqref="X258:Y258">
    <cfRule type="expression" dxfId="3920" priority="4227">
      <formula>$AC148=2</formula>
    </cfRule>
  </conditionalFormatting>
  <conditionalFormatting sqref="G244">
    <cfRule type="expression" dxfId="3919" priority="4185">
      <formula>G244&gt;F244</formula>
    </cfRule>
  </conditionalFormatting>
  <conditionalFormatting sqref="N244:P244">
    <cfRule type="expression" dxfId="3918" priority="4168">
      <formula>N244&gt;F244</formula>
    </cfRule>
  </conditionalFormatting>
  <conditionalFormatting sqref="U244:W244">
    <cfRule type="expression" dxfId="3917" priority="4167">
      <formula>U244&gt;F244</formula>
    </cfRule>
  </conditionalFormatting>
  <conditionalFormatting sqref="N250:P250">
    <cfRule type="expression" dxfId="3916" priority="4157">
      <formula>N250&gt;F250</formula>
    </cfRule>
  </conditionalFormatting>
  <conditionalFormatting sqref="U250:W250">
    <cfRule type="expression" dxfId="3915" priority="4156">
      <formula>U250&gt;F250</formula>
    </cfRule>
  </conditionalFormatting>
  <conditionalFormatting sqref="AZ245 X245:Y245 L245 H245:J245">
    <cfRule type="expression" dxfId="3914" priority="4137">
      <formula>$AC20=2</formula>
    </cfRule>
  </conditionalFormatting>
  <conditionalFormatting sqref="G247">
    <cfRule type="expression" dxfId="3913" priority="4098">
      <formula>G247&gt;F247</formula>
    </cfRule>
  </conditionalFormatting>
  <conditionalFormatting sqref="N247:P247">
    <cfRule type="expression" dxfId="3912" priority="4092">
      <formula>N247&gt;F247</formula>
    </cfRule>
  </conditionalFormatting>
  <conditionalFormatting sqref="U247:W247">
    <cfRule type="expression" dxfId="3911" priority="4091">
      <formula>U247&gt;F247</formula>
    </cfRule>
  </conditionalFormatting>
  <conditionalFormatting sqref="G251">
    <cfRule type="expression" dxfId="3910" priority="4072">
      <formula>G251&gt;F251</formula>
    </cfRule>
  </conditionalFormatting>
  <conditionalFormatting sqref="N251:P251">
    <cfRule type="expression" dxfId="3909" priority="4066">
      <formula>N251&gt;F251</formula>
    </cfRule>
  </conditionalFormatting>
  <conditionalFormatting sqref="U251:W251">
    <cfRule type="expression" dxfId="3908" priority="4065">
      <formula>U251&gt;F251</formula>
    </cfRule>
  </conditionalFormatting>
  <conditionalFormatting sqref="H258:L258">
    <cfRule type="expression" dxfId="3907" priority="4046">
      <formula>$AC148=2</formula>
    </cfRule>
  </conditionalFormatting>
  <conditionalFormatting sqref="H253:L253 X253:Y253">
    <cfRule type="expression" dxfId="3906" priority="4011">
      <formula>$AC118=2</formula>
    </cfRule>
  </conditionalFormatting>
  <conditionalFormatting sqref="G256">
    <cfRule type="expression" dxfId="3905" priority="3981">
      <formula>G256&gt;F256</formula>
    </cfRule>
  </conditionalFormatting>
  <conditionalFormatting sqref="N256:P256">
    <cfRule type="expression" dxfId="3904" priority="3980">
      <formula>N256&gt;F256</formula>
    </cfRule>
  </conditionalFormatting>
  <conditionalFormatting sqref="U256:W256">
    <cfRule type="expression" dxfId="3903" priority="3979">
      <formula>U256&gt;F256</formula>
    </cfRule>
  </conditionalFormatting>
  <conditionalFormatting sqref="G257">
    <cfRule type="expression" dxfId="3902" priority="3959">
      <formula>G257&gt;F257</formula>
    </cfRule>
  </conditionalFormatting>
  <conditionalFormatting sqref="N257:P257">
    <cfRule type="expression" dxfId="3901" priority="3958">
      <formula>N257&gt;F257</formula>
    </cfRule>
  </conditionalFormatting>
  <conditionalFormatting sqref="U257:W257">
    <cfRule type="expression" dxfId="3900" priority="3957">
      <formula>U257&gt;F257</formula>
    </cfRule>
  </conditionalFormatting>
  <conditionalFormatting sqref="O59:O60">
    <cfRule type="expression" dxfId="3899" priority="2324">
      <formula>$AC59=2</formula>
    </cfRule>
  </conditionalFormatting>
  <conditionalFormatting sqref="U52:U54">
    <cfRule type="expression" dxfId="3898" priority="2380">
      <formula>$AC52=2</formula>
    </cfRule>
  </conditionalFormatting>
  <conditionalFormatting sqref="K220">
    <cfRule type="expression" dxfId="3897" priority="3894">
      <formula>$AD220=4</formula>
    </cfRule>
    <cfRule type="expression" dxfId="3896" priority="3895">
      <formula>$AD220=3</formula>
    </cfRule>
    <cfRule type="expression" dxfId="3895" priority="3896">
      <formula>$AD220=2</formula>
    </cfRule>
    <cfRule type="expression" dxfId="3894" priority="3897">
      <formula>$AD220=1</formula>
    </cfRule>
  </conditionalFormatting>
  <conditionalFormatting sqref="K220">
    <cfRule type="expression" dxfId="3893" priority="3893">
      <formula>$AC220=2</formula>
    </cfRule>
  </conditionalFormatting>
  <conditionalFormatting sqref="K221">
    <cfRule type="expression" dxfId="3892" priority="3889">
      <formula>$AD221=4</formula>
    </cfRule>
    <cfRule type="expression" dxfId="3891" priority="3890">
      <formula>$AD221=3</formula>
    </cfRule>
    <cfRule type="expression" dxfId="3890" priority="3891">
      <formula>$AD221=2</formula>
    </cfRule>
    <cfRule type="expression" dxfId="3889" priority="3892">
      <formula>$AD221=1</formula>
    </cfRule>
  </conditionalFormatting>
  <conditionalFormatting sqref="K221">
    <cfRule type="expression" dxfId="3888" priority="3888">
      <formula>$AC221=2</formula>
    </cfRule>
  </conditionalFormatting>
  <conditionalFormatting sqref="K222">
    <cfRule type="expression" dxfId="3887" priority="3884">
      <formula>$AD222=4</formula>
    </cfRule>
    <cfRule type="expression" dxfId="3886" priority="3885">
      <formula>$AD222=3</formula>
    </cfRule>
    <cfRule type="expression" dxfId="3885" priority="3886">
      <formula>$AD222=2</formula>
    </cfRule>
    <cfRule type="expression" dxfId="3884" priority="3887">
      <formula>$AD222=1</formula>
    </cfRule>
  </conditionalFormatting>
  <conditionalFormatting sqref="K222">
    <cfRule type="expression" dxfId="3883" priority="3883">
      <formula>$AC222=2</formula>
    </cfRule>
  </conditionalFormatting>
  <conditionalFormatting sqref="K223">
    <cfRule type="expression" dxfId="3882" priority="3879">
      <formula>$AD223=4</formula>
    </cfRule>
    <cfRule type="expression" dxfId="3881" priority="3880">
      <formula>$AD223=3</formula>
    </cfRule>
    <cfRule type="expression" dxfId="3880" priority="3881">
      <formula>$AD223=2</formula>
    </cfRule>
    <cfRule type="expression" dxfId="3879" priority="3882">
      <formula>$AD223=1</formula>
    </cfRule>
  </conditionalFormatting>
  <conditionalFormatting sqref="K223">
    <cfRule type="expression" dxfId="3878" priority="3878">
      <formula>$AC223=2</formula>
    </cfRule>
  </conditionalFormatting>
  <conditionalFormatting sqref="L59:L60">
    <cfRule type="expression" dxfId="3877" priority="2327">
      <formula>$AC59=2</formula>
    </cfRule>
  </conditionalFormatting>
  <conditionalFormatting sqref="L12:L13">
    <cfRule type="expression" dxfId="3876" priority="3698">
      <formula>$AC12=2</formula>
    </cfRule>
  </conditionalFormatting>
  <conditionalFormatting sqref="Z220">
    <cfRule type="expression" dxfId="3875" priority="3870">
      <formula>$AC220=2</formula>
    </cfRule>
  </conditionalFormatting>
  <conditionalFormatting sqref="Z221">
    <cfRule type="expression" dxfId="3874" priority="3869">
      <formula>$AC221=2</formula>
    </cfRule>
  </conditionalFormatting>
  <conditionalFormatting sqref="Z222">
    <cfRule type="expression" dxfId="3873" priority="3868">
      <formula>$AC222=2</formula>
    </cfRule>
  </conditionalFormatting>
  <conditionalFormatting sqref="Z223">
    <cfRule type="expression" dxfId="3872" priority="3867">
      <formula>$AC223=2</formula>
    </cfRule>
  </conditionalFormatting>
  <conditionalFormatting sqref="H235:L235 Q235:S235 X235:Z235 AZ235">
    <cfRule type="expression" dxfId="3871" priority="3865">
      <formula>$AC46=2</formula>
    </cfRule>
  </conditionalFormatting>
  <conditionalFormatting sqref="Z245">
    <cfRule type="expression" dxfId="3870" priority="3863">
      <formula>$AC20=2</formula>
    </cfRule>
  </conditionalFormatting>
  <conditionalFormatting sqref="Z258">
    <cfRule type="expression" dxfId="3869" priority="3860">
      <formula>$AC148=2</formula>
    </cfRule>
  </conditionalFormatting>
  <conditionalFormatting sqref="Z253">
    <cfRule type="expression" dxfId="3868" priority="3859">
      <formula>$AC118=2</formula>
    </cfRule>
  </conditionalFormatting>
  <conditionalFormatting sqref="L11">
    <cfRule type="expression" dxfId="3867" priority="3784">
      <formula>$AC11=2</formula>
    </cfRule>
  </conditionalFormatting>
  <conditionalFormatting sqref="S11">
    <cfRule type="expression" dxfId="3866" priority="3782">
      <formula>$AC11=2</formula>
    </cfRule>
  </conditionalFormatting>
  <conditionalFormatting sqref="X122:Y122">
    <cfRule type="expression" dxfId="3865" priority="2851">
      <formula>$AC122=2</formula>
    </cfRule>
  </conditionalFormatting>
  <conditionalFormatting sqref="H246:J246 L246">
    <cfRule type="expression" dxfId="3864" priority="3755">
      <formula>$AC27=2</formula>
    </cfRule>
  </conditionalFormatting>
  <conditionalFormatting sqref="X246:Y246">
    <cfRule type="expression" dxfId="3863" priority="3729">
      <formula>$AC27=2</formula>
    </cfRule>
  </conditionalFormatting>
  <conditionalFormatting sqref="S246">
    <cfRule type="expression" dxfId="3862" priority="3715">
      <formula>$AC27=2</formula>
    </cfRule>
  </conditionalFormatting>
  <conditionalFormatting sqref="Z246">
    <cfRule type="expression" dxfId="3861" priority="3714">
      <formula>$AC27=2</formula>
    </cfRule>
  </conditionalFormatting>
  <conditionalFormatting sqref="G12:G16">
    <cfRule type="expression" dxfId="3860" priority="3688">
      <formula>G12&gt;F12</formula>
    </cfRule>
  </conditionalFormatting>
  <conditionalFormatting sqref="G18:G19 G21:G24 G28:G30 G32:G34">
    <cfRule type="expression" dxfId="3859" priority="3686">
      <formula>G18&gt;F18</formula>
    </cfRule>
  </conditionalFormatting>
  <conditionalFormatting sqref="J12:K24">
    <cfRule type="expression" dxfId="3858" priority="3700">
      <formula>$AD12=4</formula>
    </cfRule>
    <cfRule type="expression" dxfId="3857" priority="3701">
      <formula>$AD12=3</formula>
    </cfRule>
    <cfRule type="expression" dxfId="3856" priority="3702">
      <formula>$AD12=2</formula>
    </cfRule>
    <cfRule type="expression" dxfId="3855" priority="3703">
      <formula>$AD12=1</formula>
    </cfRule>
  </conditionalFormatting>
  <conditionalFormatting sqref="J12:K24">
    <cfRule type="expression" dxfId="3854" priority="3699">
      <formula>$AC12=2</formula>
    </cfRule>
  </conditionalFormatting>
  <conditionalFormatting sqref="J34:K34">
    <cfRule type="expression" dxfId="3853" priority="3694">
      <formula>$AD34=4</formula>
    </cfRule>
    <cfRule type="expression" dxfId="3852" priority="3695">
      <formula>$AD34=3</formula>
    </cfRule>
    <cfRule type="expression" dxfId="3851" priority="3696">
      <formula>$AD34=2</formula>
    </cfRule>
    <cfRule type="expression" dxfId="3850" priority="3697">
      <formula>$AD34=1</formula>
    </cfRule>
  </conditionalFormatting>
  <conditionalFormatting sqref="J34:K34">
    <cfRule type="expression" dxfId="3849" priority="3693">
      <formula>$AC34=2</formula>
    </cfRule>
  </conditionalFormatting>
  <conditionalFormatting sqref="L34">
    <cfRule type="expression" dxfId="3848" priority="3692">
      <formula>$AC34=2</formula>
    </cfRule>
  </conditionalFormatting>
  <conditionalFormatting sqref="G12:G16">
    <cfRule type="expression" dxfId="3847" priority="3689">
      <formula>$AC12=2</formula>
    </cfRule>
  </conditionalFormatting>
  <conditionalFormatting sqref="G18:G19">
    <cfRule type="expression" dxfId="3846" priority="3687">
      <formula>$AC18=2</formula>
    </cfRule>
  </conditionalFormatting>
  <conditionalFormatting sqref="Q16:R16">
    <cfRule type="expression" dxfId="3845" priority="3682">
      <formula>$AE16=4</formula>
    </cfRule>
    <cfRule type="expression" dxfId="3844" priority="3683">
      <formula>$AE16=3</formula>
    </cfRule>
    <cfRule type="expression" dxfId="3843" priority="3684">
      <formula>$AE16=2</formula>
    </cfRule>
    <cfRule type="expression" dxfId="3842" priority="3685">
      <formula>$AE16=1</formula>
    </cfRule>
  </conditionalFormatting>
  <conditionalFormatting sqref="X16:Y16">
    <cfRule type="expression" dxfId="3841" priority="3678">
      <formula>$AF16=4</formula>
    </cfRule>
    <cfRule type="expression" dxfId="3840" priority="3679">
      <formula>$AF16=3</formula>
    </cfRule>
    <cfRule type="expression" dxfId="3839" priority="3680">
      <formula>$AF16=2</formula>
    </cfRule>
    <cfRule type="expression" dxfId="3838" priority="3681">
      <formula>$AF16=1</formula>
    </cfRule>
  </conditionalFormatting>
  <conditionalFormatting sqref="N16">
    <cfRule type="expression" dxfId="3837" priority="3677">
      <formula>$AC16=2</formula>
    </cfRule>
  </conditionalFormatting>
  <conditionalFormatting sqref="N16">
    <cfRule type="expression" dxfId="3836" priority="3676">
      <formula>N16&gt;F16</formula>
    </cfRule>
  </conditionalFormatting>
  <conditionalFormatting sqref="Q15:R15">
    <cfRule type="expression" dxfId="3835" priority="3666">
      <formula>$AE15=4</formula>
    </cfRule>
    <cfRule type="expression" dxfId="3834" priority="3667">
      <formula>$AE15=3</formula>
    </cfRule>
    <cfRule type="expression" dxfId="3833" priority="3668">
      <formula>$AE15=2</formula>
    </cfRule>
    <cfRule type="expression" dxfId="3832" priority="3669">
      <formula>$AE15=1</formula>
    </cfRule>
  </conditionalFormatting>
  <conditionalFormatting sqref="N15">
    <cfRule type="expression" dxfId="3831" priority="3661">
      <formula>$AC15=2</formula>
    </cfRule>
  </conditionalFormatting>
  <conditionalFormatting sqref="N15">
    <cfRule type="expression" dxfId="3830" priority="3660">
      <formula>N15&gt;F15</formula>
    </cfRule>
  </conditionalFormatting>
  <conditionalFormatting sqref="Q14:R14">
    <cfRule type="expression" dxfId="3829" priority="3650">
      <formula>$AE14=4</formula>
    </cfRule>
    <cfRule type="expression" dxfId="3828" priority="3651">
      <formula>$AE14=3</formula>
    </cfRule>
    <cfRule type="expression" dxfId="3827" priority="3652">
      <formula>$AE14=2</formula>
    </cfRule>
    <cfRule type="expression" dxfId="3826" priority="3653">
      <formula>$AE14=1</formula>
    </cfRule>
  </conditionalFormatting>
  <conditionalFormatting sqref="X14:Y14">
    <cfRule type="expression" dxfId="3825" priority="3646">
      <formula>$AF14=4</formula>
    </cfRule>
    <cfRule type="expression" dxfId="3824" priority="3647">
      <formula>$AF14=3</formula>
    </cfRule>
    <cfRule type="expression" dxfId="3823" priority="3648">
      <formula>$AF14=2</formula>
    </cfRule>
    <cfRule type="expression" dxfId="3822" priority="3649">
      <formula>$AF14=1</formula>
    </cfRule>
  </conditionalFormatting>
  <conditionalFormatting sqref="N14">
    <cfRule type="expression" dxfId="3821" priority="3645">
      <formula>$AC14=2</formula>
    </cfRule>
  </conditionalFormatting>
  <conditionalFormatting sqref="N14">
    <cfRule type="expression" dxfId="3820" priority="3644">
      <formula>N14&gt;F14</formula>
    </cfRule>
  </conditionalFormatting>
  <conditionalFormatting sqref="Q13:R13">
    <cfRule type="expression" dxfId="3819" priority="3634">
      <formula>$AE13=4</formula>
    </cfRule>
    <cfRule type="expression" dxfId="3818" priority="3635">
      <formula>$AE13=3</formula>
    </cfRule>
    <cfRule type="expression" dxfId="3817" priority="3636">
      <formula>$AE13=2</formula>
    </cfRule>
    <cfRule type="expression" dxfId="3816" priority="3637">
      <formula>$AE13=1</formula>
    </cfRule>
  </conditionalFormatting>
  <conditionalFormatting sqref="X13:Y13">
    <cfRule type="expression" dxfId="3815" priority="3630">
      <formula>$AF13=4</formula>
    </cfRule>
    <cfRule type="expression" dxfId="3814" priority="3631">
      <formula>$AF13=3</formula>
    </cfRule>
    <cfRule type="expression" dxfId="3813" priority="3632">
      <formula>$AF13=2</formula>
    </cfRule>
    <cfRule type="expression" dxfId="3812" priority="3633">
      <formula>$AF13=1</formula>
    </cfRule>
  </conditionalFormatting>
  <conditionalFormatting sqref="N13">
    <cfRule type="expression" dxfId="3811" priority="3629">
      <formula>$AC13=2</formula>
    </cfRule>
  </conditionalFormatting>
  <conditionalFormatting sqref="N13">
    <cfRule type="expression" dxfId="3810" priority="3628">
      <formula>N13&gt;F13</formula>
    </cfRule>
  </conditionalFormatting>
  <conditionalFormatting sqref="Q12:R12">
    <cfRule type="expression" dxfId="3809" priority="3618">
      <formula>$AE12=4</formula>
    </cfRule>
    <cfRule type="expression" dxfId="3808" priority="3619">
      <formula>$AE12=3</formula>
    </cfRule>
    <cfRule type="expression" dxfId="3807" priority="3620">
      <formula>$AE12=2</formula>
    </cfRule>
    <cfRule type="expression" dxfId="3806" priority="3621">
      <formula>$AE12=1</formula>
    </cfRule>
  </conditionalFormatting>
  <conditionalFormatting sqref="X12:Y12">
    <cfRule type="expression" dxfId="3805" priority="3614">
      <formula>$AF12=4</formula>
    </cfRule>
    <cfRule type="expression" dxfId="3804" priority="3615">
      <formula>$AF12=3</formula>
    </cfRule>
    <cfRule type="expression" dxfId="3803" priority="3616">
      <formula>$AF12=2</formula>
    </cfRule>
    <cfRule type="expression" dxfId="3802" priority="3617">
      <formula>$AF12=1</formula>
    </cfRule>
  </conditionalFormatting>
  <conditionalFormatting sqref="N12">
    <cfRule type="expression" dxfId="3801" priority="3613">
      <formula>$AC12=2</formula>
    </cfRule>
  </conditionalFormatting>
  <conditionalFormatting sqref="N12">
    <cfRule type="expression" dxfId="3800" priority="3612">
      <formula>N12&gt;F12</formula>
    </cfRule>
  </conditionalFormatting>
  <conditionalFormatting sqref="Q21:R21">
    <cfRule type="expression" dxfId="3799" priority="3602">
      <formula>$AE21=4</formula>
    </cfRule>
    <cfRule type="expression" dxfId="3798" priority="3603">
      <formula>$AE21=3</formula>
    </cfRule>
    <cfRule type="expression" dxfId="3797" priority="3604">
      <formula>$AE21=2</formula>
    </cfRule>
    <cfRule type="expression" dxfId="3796" priority="3605">
      <formula>$AE21=1</formula>
    </cfRule>
  </conditionalFormatting>
  <conditionalFormatting sqref="X21:Y21">
    <cfRule type="expression" dxfId="3795" priority="3598">
      <formula>$AF21=4</formula>
    </cfRule>
    <cfRule type="expression" dxfId="3794" priority="3599">
      <formula>$AF21=3</formula>
    </cfRule>
    <cfRule type="expression" dxfId="3793" priority="3600">
      <formula>$AF21=2</formula>
    </cfRule>
    <cfRule type="expression" dxfId="3792" priority="3601">
      <formula>$AF21=1</formula>
    </cfRule>
  </conditionalFormatting>
  <conditionalFormatting sqref="N21">
    <cfRule type="expression" dxfId="3791" priority="3597">
      <formula>$AC21=2</formula>
    </cfRule>
  </conditionalFormatting>
  <conditionalFormatting sqref="N21">
    <cfRule type="expression" dxfId="3790" priority="3596">
      <formula>N21&gt;F21</formula>
    </cfRule>
  </conditionalFormatting>
  <conditionalFormatting sqref="Q22:R22">
    <cfRule type="expression" dxfId="3789" priority="3586">
      <formula>$AE22=4</formula>
    </cfRule>
    <cfRule type="expression" dxfId="3788" priority="3587">
      <formula>$AE22=3</formula>
    </cfRule>
    <cfRule type="expression" dxfId="3787" priority="3588">
      <formula>$AE22=2</formula>
    </cfRule>
    <cfRule type="expression" dxfId="3786" priority="3589">
      <formula>$AE22=1</formula>
    </cfRule>
  </conditionalFormatting>
  <conditionalFormatting sqref="X22:Y22">
    <cfRule type="expression" dxfId="3785" priority="3582">
      <formula>$AF22=4</formula>
    </cfRule>
    <cfRule type="expression" dxfId="3784" priority="3583">
      <formula>$AF22=3</formula>
    </cfRule>
    <cfRule type="expression" dxfId="3783" priority="3584">
      <formula>$AF22=2</formula>
    </cfRule>
    <cfRule type="expression" dxfId="3782" priority="3585">
      <formula>$AF22=1</formula>
    </cfRule>
  </conditionalFormatting>
  <conditionalFormatting sqref="N22">
    <cfRule type="expression" dxfId="3781" priority="3581">
      <formula>$AC22=2</formula>
    </cfRule>
  </conditionalFormatting>
  <conditionalFormatting sqref="N22">
    <cfRule type="expression" dxfId="3780" priority="3580">
      <formula>N22&gt;F22</formula>
    </cfRule>
  </conditionalFormatting>
  <conditionalFormatting sqref="Q23:R23">
    <cfRule type="expression" dxfId="3779" priority="3570">
      <formula>$AE23=4</formula>
    </cfRule>
    <cfRule type="expression" dxfId="3778" priority="3571">
      <formula>$AE23=3</formula>
    </cfRule>
    <cfRule type="expression" dxfId="3777" priority="3572">
      <formula>$AE23=2</formula>
    </cfRule>
    <cfRule type="expression" dxfId="3776" priority="3573">
      <formula>$AE23=1</formula>
    </cfRule>
  </conditionalFormatting>
  <conditionalFormatting sqref="X23:Y23">
    <cfRule type="expression" dxfId="3775" priority="3566">
      <formula>$AF23=4</formula>
    </cfRule>
    <cfRule type="expression" dxfId="3774" priority="3567">
      <formula>$AF23=3</formula>
    </cfRule>
    <cfRule type="expression" dxfId="3773" priority="3568">
      <formula>$AF23=2</formula>
    </cfRule>
    <cfRule type="expression" dxfId="3772" priority="3569">
      <formula>$AF23=1</formula>
    </cfRule>
  </conditionalFormatting>
  <conditionalFormatting sqref="N23">
    <cfRule type="expression" dxfId="3771" priority="3565">
      <formula>$AC23=2</formula>
    </cfRule>
  </conditionalFormatting>
  <conditionalFormatting sqref="N23">
    <cfRule type="expression" dxfId="3770" priority="3564">
      <formula>N23&gt;F23</formula>
    </cfRule>
  </conditionalFormatting>
  <conditionalFormatting sqref="Q24:R24">
    <cfRule type="expression" dxfId="3769" priority="3554">
      <formula>$AE24=4</formula>
    </cfRule>
    <cfRule type="expression" dxfId="3768" priority="3555">
      <formula>$AE24=3</formula>
    </cfRule>
    <cfRule type="expression" dxfId="3767" priority="3556">
      <formula>$AE24=2</formula>
    </cfRule>
    <cfRule type="expression" dxfId="3766" priority="3557">
      <formula>$AE24=1</formula>
    </cfRule>
  </conditionalFormatting>
  <conditionalFormatting sqref="X24:Y24">
    <cfRule type="expression" dxfId="3765" priority="3550">
      <formula>$AF24=4</formula>
    </cfRule>
    <cfRule type="expression" dxfId="3764" priority="3551">
      <formula>$AF24=3</formula>
    </cfRule>
    <cfRule type="expression" dxfId="3763" priority="3552">
      <formula>$AF24=2</formula>
    </cfRule>
    <cfRule type="expression" dxfId="3762" priority="3553">
      <formula>$AF24=1</formula>
    </cfRule>
  </conditionalFormatting>
  <conditionalFormatting sqref="N24">
    <cfRule type="expression" dxfId="3761" priority="3549">
      <formula>$AC24=2</formula>
    </cfRule>
  </conditionalFormatting>
  <conditionalFormatting sqref="N24">
    <cfRule type="expression" dxfId="3760" priority="3548">
      <formula>N24&gt;F24</formula>
    </cfRule>
  </conditionalFormatting>
  <conditionalFormatting sqref="Q28:R28">
    <cfRule type="expression" dxfId="3759" priority="3538">
      <formula>$AE28=4</formula>
    </cfRule>
    <cfRule type="expression" dxfId="3758" priority="3539">
      <formula>$AE28=3</formula>
    </cfRule>
    <cfRule type="expression" dxfId="3757" priority="3540">
      <formula>$AE28=2</formula>
    </cfRule>
    <cfRule type="expression" dxfId="3756" priority="3541">
      <formula>$AE28=1</formula>
    </cfRule>
  </conditionalFormatting>
  <conditionalFormatting sqref="X28:Y28">
    <cfRule type="expression" dxfId="3755" priority="3534">
      <formula>$AF28=4</formula>
    </cfRule>
    <cfRule type="expression" dxfId="3754" priority="3535">
      <formula>$AF28=3</formula>
    </cfRule>
    <cfRule type="expression" dxfId="3753" priority="3536">
      <formula>$AF28=2</formula>
    </cfRule>
    <cfRule type="expression" dxfId="3752" priority="3537">
      <formula>$AF28=1</formula>
    </cfRule>
  </conditionalFormatting>
  <conditionalFormatting sqref="N28">
    <cfRule type="expression" dxfId="3751" priority="3533">
      <formula>$AC28=2</formula>
    </cfRule>
  </conditionalFormatting>
  <conditionalFormatting sqref="N28">
    <cfRule type="expression" dxfId="3750" priority="3532">
      <formula>N28&gt;F28</formula>
    </cfRule>
  </conditionalFormatting>
  <conditionalFormatting sqref="Q29:R29">
    <cfRule type="expression" dxfId="3749" priority="3522">
      <formula>$AE29=4</formula>
    </cfRule>
    <cfRule type="expression" dxfId="3748" priority="3523">
      <formula>$AE29=3</formula>
    </cfRule>
    <cfRule type="expression" dxfId="3747" priority="3524">
      <formula>$AE29=2</formula>
    </cfRule>
    <cfRule type="expression" dxfId="3746" priority="3525">
      <formula>$AE29=1</formula>
    </cfRule>
  </conditionalFormatting>
  <conditionalFormatting sqref="X29:Y29">
    <cfRule type="expression" dxfId="3745" priority="3518">
      <formula>$AF29=4</formula>
    </cfRule>
    <cfRule type="expression" dxfId="3744" priority="3519">
      <formula>$AF29=3</formula>
    </cfRule>
    <cfRule type="expression" dxfId="3743" priority="3520">
      <formula>$AF29=2</formula>
    </cfRule>
    <cfRule type="expression" dxfId="3742" priority="3521">
      <formula>$AF29=1</formula>
    </cfRule>
  </conditionalFormatting>
  <conditionalFormatting sqref="N29">
    <cfRule type="expression" dxfId="3741" priority="3517">
      <formula>$AC29=2</formula>
    </cfRule>
  </conditionalFormatting>
  <conditionalFormatting sqref="N29">
    <cfRule type="expression" dxfId="3740" priority="3516">
      <formula>N29&gt;F29</formula>
    </cfRule>
  </conditionalFormatting>
  <conditionalFormatting sqref="Q30:R30">
    <cfRule type="expression" dxfId="3739" priority="3506">
      <formula>$AE30=4</formula>
    </cfRule>
    <cfRule type="expression" dxfId="3738" priority="3507">
      <formula>$AE30=3</formula>
    </cfRule>
    <cfRule type="expression" dxfId="3737" priority="3508">
      <formula>$AE30=2</formula>
    </cfRule>
    <cfRule type="expression" dxfId="3736" priority="3509">
      <formula>$AE30=1</formula>
    </cfRule>
  </conditionalFormatting>
  <conditionalFormatting sqref="X30:Y30">
    <cfRule type="expression" dxfId="3735" priority="3502">
      <formula>$AF30=4</formula>
    </cfRule>
    <cfRule type="expression" dxfId="3734" priority="3503">
      <formula>$AF30=3</formula>
    </cfRule>
    <cfRule type="expression" dxfId="3733" priority="3504">
      <formula>$AF30=2</formula>
    </cfRule>
    <cfRule type="expression" dxfId="3732" priority="3505">
      <formula>$AF30=1</formula>
    </cfRule>
  </conditionalFormatting>
  <conditionalFormatting sqref="N30">
    <cfRule type="expression" dxfId="3731" priority="3501">
      <formula>$AC30=2</formula>
    </cfRule>
  </conditionalFormatting>
  <conditionalFormatting sqref="N30">
    <cfRule type="expression" dxfId="3730" priority="3500">
      <formula>N30&gt;F30</formula>
    </cfRule>
  </conditionalFormatting>
  <conditionalFormatting sqref="Q32:R32">
    <cfRule type="expression" dxfId="3729" priority="3490">
      <formula>$AE32=4</formula>
    </cfRule>
    <cfRule type="expression" dxfId="3728" priority="3491">
      <formula>$AE32=3</formula>
    </cfRule>
    <cfRule type="expression" dxfId="3727" priority="3492">
      <formula>$AE32=2</formula>
    </cfRule>
    <cfRule type="expression" dxfId="3726" priority="3493">
      <formula>$AE32=1</formula>
    </cfRule>
  </conditionalFormatting>
  <conditionalFormatting sqref="X32:Y32">
    <cfRule type="expression" dxfId="3725" priority="3486">
      <formula>$AF32=4</formula>
    </cfRule>
    <cfRule type="expression" dxfId="3724" priority="3487">
      <formula>$AF32=3</formula>
    </cfRule>
    <cfRule type="expression" dxfId="3723" priority="3488">
      <formula>$AF32=2</formula>
    </cfRule>
    <cfRule type="expression" dxfId="3722" priority="3489">
      <formula>$AF32=1</formula>
    </cfRule>
  </conditionalFormatting>
  <conditionalFormatting sqref="N32">
    <cfRule type="expression" dxfId="3721" priority="3485">
      <formula>$AC32=2</formula>
    </cfRule>
  </conditionalFormatting>
  <conditionalFormatting sqref="N32">
    <cfRule type="expression" dxfId="3720" priority="3484">
      <formula>N32&gt;F32</formula>
    </cfRule>
  </conditionalFormatting>
  <conditionalFormatting sqref="Q33:R33">
    <cfRule type="expression" dxfId="3719" priority="3474">
      <formula>$AE33=4</formula>
    </cfRule>
    <cfRule type="expression" dxfId="3718" priority="3475">
      <formula>$AE33=3</formula>
    </cfRule>
    <cfRule type="expression" dxfId="3717" priority="3476">
      <formula>$AE33=2</formula>
    </cfRule>
    <cfRule type="expression" dxfId="3716" priority="3477">
      <formula>$AE33=1</formula>
    </cfRule>
  </conditionalFormatting>
  <conditionalFormatting sqref="X33:Y33">
    <cfRule type="expression" dxfId="3715" priority="3470">
      <formula>$AF33=4</formula>
    </cfRule>
    <cfRule type="expression" dxfId="3714" priority="3471">
      <formula>$AF33=3</formula>
    </cfRule>
    <cfRule type="expression" dxfId="3713" priority="3472">
      <formula>$AF33=2</formula>
    </cfRule>
    <cfRule type="expression" dxfId="3712" priority="3473">
      <formula>$AF33=1</formula>
    </cfRule>
  </conditionalFormatting>
  <conditionalFormatting sqref="N33">
    <cfRule type="expression" dxfId="3711" priority="3469">
      <formula>$AC33=2</formula>
    </cfRule>
  </conditionalFormatting>
  <conditionalFormatting sqref="N33">
    <cfRule type="expression" dxfId="3710" priority="3468">
      <formula>N33&gt;F33</formula>
    </cfRule>
  </conditionalFormatting>
  <conditionalFormatting sqref="Q34:R34">
    <cfRule type="expression" dxfId="3709" priority="3458">
      <formula>$AE34=4</formula>
    </cfRule>
    <cfRule type="expression" dxfId="3708" priority="3459">
      <formula>$AE34=3</formula>
    </cfRule>
    <cfRule type="expression" dxfId="3707" priority="3460">
      <formula>$AE34=2</formula>
    </cfRule>
    <cfRule type="expression" dxfId="3706" priority="3461">
      <formula>$AE34=1</formula>
    </cfRule>
  </conditionalFormatting>
  <conditionalFormatting sqref="X34:Y34">
    <cfRule type="expression" dxfId="3705" priority="3454">
      <formula>$AF34=4</formula>
    </cfRule>
    <cfRule type="expression" dxfId="3704" priority="3455">
      <formula>$AF34=3</formula>
    </cfRule>
    <cfRule type="expression" dxfId="3703" priority="3456">
      <formula>$AF34=2</formula>
    </cfRule>
    <cfRule type="expression" dxfId="3702" priority="3457">
      <formula>$AF34=1</formula>
    </cfRule>
  </conditionalFormatting>
  <conditionalFormatting sqref="N34">
    <cfRule type="expression" dxfId="3701" priority="3453">
      <formula>$AC34=2</formula>
    </cfRule>
  </conditionalFormatting>
  <conditionalFormatting sqref="N34">
    <cfRule type="expression" dxfId="3700" priority="3452">
      <formula>N34&gt;F34</formula>
    </cfRule>
  </conditionalFormatting>
  <conditionalFormatting sqref="O11:O24">
    <cfRule type="expression" dxfId="3699" priority="3393">
      <formula>$AC11=2</formula>
    </cfRule>
  </conditionalFormatting>
  <conditionalFormatting sqref="V11">
    <cfRule type="expression" dxfId="3698" priority="3392">
      <formula>$AC11=2</formula>
    </cfRule>
  </conditionalFormatting>
  <conditionalFormatting sqref="V12:V14">
    <cfRule type="expression" dxfId="3697" priority="3391">
      <formula>$AC12=2</formula>
    </cfRule>
  </conditionalFormatting>
  <conditionalFormatting sqref="V16">
    <cfRule type="expression" dxfId="3696" priority="3390">
      <formula>$AC16=2</formula>
    </cfRule>
  </conditionalFormatting>
  <conditionalFormatting sqref="V18:V19">
    <cfRule type="expression" dxfId="3695" priority="3389">
      <formula>$AC18=2</formula>
    </cfRule>
  </conditionalFormatting>
  <conditionalFormatting sqref="V21:V24">
    <cfRule type="expression" dxfId="3694" priority="3388">
      <formula>$AC21=2</formula>
    </cfRule>
  </conditionalFormatting>
  <conditionalFormatting sqref="V28:V30">
    <cfRule type="expression" dxfId="3693" priority="3387">
      <formula>$AC28=2</formula>
    </cfRule>
  </conditionalFormatting>
  <conditionalFormatting sqref="V32:V34">
    <cfRule type="expression" dxfId="3692" priority="3386">
      <formula>$AC32=2</formula>
    </cfRule>
  </conditionalFormatting>
  <conditionalFormatting sqref="U12:U14">
    <cfRule type="expression" dxfId="3691" priority="3381">
      <formula>$AC12=2</formula>
    </cfRule>
  </conditionalFormatting>
  <conditionalFormatting sqref="U12:U14">
    <cfRule type="expression" dxfId="3690" priority="3380">
      <formula>U12&gt;F12</formula>
    </cfRule>
  </conditionalFormatting>
  <conditionalFormatting sqref="U16">
    <cfRule type="expression" dxfId="3689" priority="3377">
      <formula>$AC16=2</formula>
    </cfRule>
  </conditionalFormatting>
  <conditionalFormatting sqref="U16">
    <cfRule type="expression" dxfId="3688" priority="3376">
      <formula>U16&gt;F16</formula>
    </cfRule>
  </conditionalFormatting>
  <conditionalFormatting sqref="U18:U19">
    <cfRule type="expression" dxfId="3687" priority="3373">
      <formula>$AC18=2</formula>
    </cfRule>
  </conditionalFormatting>
  <conditionalFormatting sqref="U18:U19">
    <cfRule type="expression" dxfId="3686" priority="3372">
      <formula>U18&gt;F18</formula>
    </cfRule>
  </conditionalFormatting>
  <conditionalFormatting sqref="U21:U24">
    <cfRule type="expression" dxfId="3685" priority="3369">
      <formula>$AC21=2</formula>
    </cfRule>
  </conditionalFormatting>
  <conditionalFormatting sqref="U21:U24">
    <cfRule type="expression" dxfId="3684" priority="3368">
      <formula>U21&gt;F21</formula>
    </cfRule>
  </conditionalFormatting>
  <conditionalFormatting sqref="U28:U30">
    <cfRule type="expression" dxfId="3683" priority="3365">
      <formula>$AC28=2</formula>
    </cfRule>
  </conditionalFormatting>
  <conditionalFormatting sqref="U28:U30">
    <cfRule type="expression" dxfId="3682" priority="3364">
      <formula>U28&gt;F28</formula>
    </cfRule>
  </conditionalFormatting>
  <conditionalFormatting sqref="U32:U34">
    <cfRule type="expression" dxfId="3681" priority="3361">
      <formula>$AC32=2</formula>
    </cfRule>
  </conditionalFormatting>
  <conditionalFormatting sqref="U32:U34">
    <cfRule type="expression" dxfId="3680" priority="3360">
      <formula>U32&gt;F32</formula>
    </cfRule>
  </conditionalFormatting>
  <conditionalFormatting sqref="J38:K40">
    <cfRule type="expression" dxfId="3679" priority="3354">
      <formula>$AD38=4</formula>
    </cfRule>
    <cfRule type="expression" dxfId="3678" priority="3355">
      <formula>$AD38=3</formula>
    </cfRule>
    <cfRule type="expression" dxfId="3677" priority="3356">
      <formula>$AD38=2</formula>
    </cfRule>
    <cfRule type="expression" dxfId="3676" priority="3357">
      <formula>$AD38=1</formula>
    </cfRule>
  </conditionalFormatting>
  <conditionalFormatting sqref="Q38:R40">
    <cfRule type="expression" dxfId="3675" priority="3350">
      <formula>$AE38=4</formula>
    </cfRule>
    <cfRule type="expression" dxfId="3674" priority="3351">
      <formula>$AE38=3</formula>
    </cfRule>
    <cfRule type="expression" dxfId="3673" priority="3352">
      <formula>$AE38=2</formula>
    </cfRule>
    <cfRule type="expression" dxfId="3672" priority="3353">
      <formula>$AE38=1</formula>
    </cfRule>
  </conditionalFormatting>
  <conditionalFormatting sqref="X38:Y40">
    <cfRule type="expression" dxfId="3671" priority="3346">
      <formula>$AF38=4</formula>
    </cfRule>
    <cfRule type="expression" dxfId="3670" priority="3347">
      <formula>$AF38=3</formula>
    </cfRule>
    <cfRule type="expression" dxfId="3669" priority="3348">
      <formula>$AF38=2</formula>
    </cfRule>
    <cfRule type="expression" dxfId="3668" priority="3349">
      <formula>$AF38=1</formula>
    </cfRule>
  </conditionalFormatting>
  <conditionalFormatting sqref="H38:K38 J39:K40">
    <cfRule type="expression" dxfId="3667" priority="3345">
      <formula>$AC38=2</formula>
    </cfRule>
  </conditionalFormatting>
  <conditionalFormatting sqref="L38:L40">
    <cfRule type="expression" dxfId="3666" priority="3340">
      <formula>$AC38=2</formula>
    </cfRule>
  </conditionalFormatting>
  <conditionalFormatting sqref="O38">
    <cfRule type="expression" dxfId="3665" priority="3338">
      <formula>$AC38=2</formula>
    </cfRule>
  </conditionalFormatting>
  <conditionalFormatting sqref="V38">
    <cfRule type="expression" dxfId="3664" priority="3337">
      <formula>$AC38=2</formula>
    </cfRule>
  </conditionalFormatting>
  <conditionalFormatting sqref="J66:K66">
    <cfRule type="expression" dxfId="3663" priority="3333">
      <formula>$AD66=4</formula>
    </cfRule>
    <cfRule type="expression" dxfId="3662" priority="3334">
      <formula>$AD66=3</formula>
    </cfRule>
    <cfRule type="expression" dxfId="3661" priority="3335">
      <formula>$AD66=2</formula>
    </cfRule>
    <cfRule type="expression" dxfId="3660" priority="3336">
      <formula>$AD66=1</formula>
    </cfRule>
  </conditionalFormatting>
  <conditionalFormatting sqref="Q66:R66">
    <cfRule type="expression" dxfId="3659" priority="3329">
      <formula>$AE66=4</formula>
    </cfRule>
    <cfRule type="expression" dxfId="3658" priority="3330">
      <formula>$AE66=3</formula>
    </cfRule>
    <cfRule type="expression" dxfId="3657" priority="3331">
      <formula>$AE66=2</formula>
    </cfRule>
    <cfRule type="expression" dxfId="3656" priority="3332">
      <formula>$AE66=1</formula>
    </cfRule>
  </conditionalFormatting>
  <conditionalFormatting sqref="X66:Y66">
    <cfRule type="expression" dxfId="3655" priority="3325">
      <formula>$AF66=4</formula>
    </cfRule>
    <cfRule type="expression" dxfId="3654" priority="3326">
      <formula>$AF66=3</formula>
    </cfRule>
    <cfRule type="expression" dxfId="3653" priority="3327">
      <formula>$AF66=2</formula>
    </cfRule>
    <cfRule type="expression" dxfId="3652" priority="3328">
      <formula>$AF66=1</formula>
    </cfRule>
  </conditionalFormatting>
  <conditionalFormatting sqref="H66:K66">
    <cfRule type="expression" dxfId="3651" priority="3324">
      <formula>$AC66=2</formula>
    </cfRule>
  </conditionalFormatting>
  <conditionalFormatting sqref="L66">
    <cfRule type="expression" dxfId="3650" priority="3319">
      <formula>$AC66=2</formula>
    </cfRule>
  </conditionalFormatting>
  <conditionalFormatting sqref="O66">
    <cfRule type="expression" dxfId="3649" priority="3317">
      <formula>$AC66=2</formula>
    </cfRule>
  </conditionalFormatting>
  <conditionalFormatting sqref="V66">
    <cfRule type="expression" dxfId="3648" priority="3316">
      <formula>$AC66=2</formula>
    </cfRule>
  </conditionalFormatting>
  <conditionalFormatting sqref="J95:K95">
    <cfRule type="expression" dxfId="3647" priority="3312">
      <formula>$AD95=4</formula>
    </cfRule>
    <cfRule type="expression" dxfId="3646" priority="3313">
      <formula>$AD95=3</formula>
    </cfRule>
    <cfRule type="expression" dxfId="3645" priority="3314">
      <formula>$AD95=2</formula>
    </cfRule>
    <cfRule type="expression" dxfId="3644" priority="3315">
      <formula>$AD95=1</formula>
    </cfRule>
  </conditionalFormatting>
  <conditionalFormatting sqref="Q95:R95">
    <cfRule type="expression" dxfId="3643" priority="3308">
      <formula>$AE95=4</formula>
    </cfRule>
    <cfRule type="expression" dxfId="3642" priority="3309">
      <formula>$AE95=3</formula>
    </cfRule>
    <cfRule type="expression" dxfId="3641" priority="3310">
      <formula>$AE95=2</formula>
    </cfRule>
    <cfRule type="expression" dxfId="3640" priority="3311">
      <formula>$AE95=1</formula>
    </cfRule>
  </conditionalFormatting>
  <conditionalFormatting sqref="X95:Y95">
    <cfRule type="expression" dxfId="3639" priority="3304">
      <formula>$AF95=4</formula>
    </cfRule>
    <cfRule type="expression" dxfId="3638" priority="3305">
      <formula>$AF95=3</formula>
    </cfRule>
    <cfRule type="expression" dxfId="3637" priority="3306">
      <formula>$AF95=2</formula>
    </cfRule>
    <cfRule type="expression" dxfId="3636" priority="3307">
      <formula>$AF95=1</formula>
    </cfRule>
  </conditionalFormatting>
  <conditionalFormatting sqref="H95:K95">
    <cfRule type="expression" dxfId="3635" priority="3303">
      <formula>$AC95=2</formula>
    </cfRule>
  </conditionalFormatting>
  <conditionalFormatting sqref="L95">
    <cfRule type="expression" dxfId="3634" priority="3298">
      <formula>$AC95=2</formula>
    </cfRule>
  </conditionalFormatting>
  <conditionalFormatting sqref="O95">
    <cfRule type="expression" dxfId="3633" priority="3296">
      <formula>$AC95=2</formula>
    </cfRule>
  </conditionalFormatting>
  <conditionalFormatting sqref="V95">
    <cfRule type="expression" dxfId="3632" priority="3295">
      <formula>$AC95=2</formula>
    </cfRule>
  </conditionalFormatting>
  <conditionalFormatting sqref="J104:K105">
    <cfRule type="expression" dxfId="3631" priority="3291">
      <formula>$AD104=4</formula>
    </cfRule>
    <cfRule type="expression" dxfId="3630" priority="3292">
      <formula>$AD104=3</formula>
    </cfRule>
    <cfRule type="expression" dxfId="3629" priority="3293">
      <formula>$AD104=2</formula>
    </cfRule>
    <cfRule type="expression" dxfId="3628" priority="3294">
      <formula>$AD104=1</formula>
    </cfRule>
  </conditionalFormatting>
  <conditionalFormatting sqref="Q104:R104">
    <cfRule type="expression" dxfId="3627" priority="3287">
      <formula>$AE104=4</formula>
    </cfRule>
    <cfRule type="expression" dxfId="3626" priority="3288">
      <formula>$AE104=3</formula>
    </cfRule>
    <cfRule type="expression" dxfId="3625" priority="3289">
      <formula>$AE104=2</formula>
    </cfRule>
    <cfRule type="expression" dxfId="3624" priority="3290">
      <formula>$AE104=1</formula>
    </cfRule>
  </conditionalFormatting>
  <conditionalFormatting sqref="X104:Y104">
    <cfRule type="expression" dxfId="3623" priority="3283">
      <formula>$AF104=4</formula>
    </cfRule>
    <cfRule type="expression" dxfId="3622" priority="3284">
      <formula>$AF104=3</formula>
    </cfRule>
    <cfRule type="expression" dxfId="3621" priority="3285">
      <formula>$AF104=2</formula>
    </cfRule>
    <cfRule type="expression" dxfId="3620" priority="3286">
      <formula>$AF104=1</formula>
    </cfRule>
  </conditionalFormatting>
  <conditionalFormatting sqref="H104:K104 J105:K105">
    <cfRule type="expression" dxfId="3619" priority="3282">
      <formula>$AC104=2</formula>
    </cfRule>
  </conditionalFormatting>
  <conditionalFormatting sqref="L104:L105">
    <cfRule type="expression" dxfId="3618" priority="3277">
      <formula>$AC104=2</formula>
    </cfRule>
  </conditionalFormatting>
  <conditionalFormatting sqref="O104">
    <cfRule type="expression" dxfId="3617" priority="3275">
      <formula>$AC104=2</formula>
    </cfRule>
  </conditionalFormatting>
  <conditionalFormatting sqref="V104">
    <cfRule type="expression" dxfId="3616" priority="3274">
      <formula>$AC104=2</formula>
    </cfRule>
  </conditionalFormatting>
  <conditionalFormatting sqref="J118:K118">
    <cfRule type="expression" dxfId="3615" priority="3270">
      <formula>$AD118=4</formula>
    </cfRule>
    <cfRule type="expression" dxfId="3614" priority="3271">
      <formula>$AD118=3</formula>
    </cfRule>
    <cfRule type="expression" dxfId="3613" priority="3272">
      <formula>$AD118=2</formula>
    </cfRule>
    <cfRule type="expression" dxfId="3612" priority="3273">
      <formula>$AD118=1</formula>
    </cfRule>
  </conditionalFormatting>
  <conditionalFormatting sqref="Q118:R118">
    <cfRule type="expression" dxfId="3611" priority="3266">
      <formula>$AE118=4</formula>
    </cfRule>
    <cfRule type="expression" dxfId="3610" priority="3267">
      <formula>$AE118=3</formula>
    </cfRule>
    <cfRule type="expression" dxfId="3609" priority="3268">
      <formula>$AE118=2</formula>
    </cfRule>
    <cfRule type="expression" dxfId="3608" priority="3269">
      <formula>$AE118=1</formula>
    </cfRule>
  </conditionalFormatting>
  <conditionalFormatting sqref="X118:Y118">
    <cfRule type="expression" dxfId="3607" priority="3262">
      <formula>$AF118=4</formula>
    </cfRule>
    <cfRule type="expression" dxfId="3606" priority="3263">
      <formula>$AF118=3</formula>
    </cfRule>
    <cfRule type="expression" dxfId="3605" priority="3264">
      <formula>$AF118=2</formula>
    </cfRule>
    <cfRule type="expression" dxfId="3604" priority="3265">
      <formula>$AF118=1</formula>
    </cfRule>
  </conditionalFormatting>
  <conditionalFormatting sqref="H118:K118">
    <cfRule type="expression" dxfId="3603" priority="3261">
      <formula>$AC118=2</formula>
    </cfRule>
  </conditionalFormatting>
  <conditionalFormatting sqref="L118">
    <cfRule type="expression" dxfId="3602" priority="3256">
      <formula>$AC118=2</formula>
    </cfRule>
  </conditionalFormatting>
  <conditionalFormatting sqref="O118">
    <cfRule type="expression" dxfId="3601" priority="3254">
      <formula>$AC118=2</formula>
    </cfRule>
  </conditionalFormatting>
  <conditionalFormatting sqref="V118">
    <cfRule type="expression" dxfId="3600" priority="3253">
      <formula>$AC118=2</formula>
    </cfRule>
  </conditionalFormatting>
  <conditionalFormatting sqref="J148:K148">
    <cfRule type="expression" dxfId="3599" priority="3249">
      <formula>$AD148=4</formula>
    </cfRule>
    <cfRule type="expression" dxfId="3598" priority="3250">
      <formula>$AD148=3</formula>
    </cfRule>
    <cfRule type="expression" dxfId="3597" priority="3251">
      <formula>$AD148=2</formula>
    </cfRule>
    <cfRule type="expression" dxfId="3596" priority="3252">
      <formula>$AD148=1</formula>
    </cfRule>
  </conditionalFormatting>
  <conditionalFormatting sqref="Q148:R148">
    <cfRule type="expression" dxfId="3595" priority="3245">
      <formula>$AE148=4</formula>
    </cfRule>
    <cfRule type="expression" dxfId="3594" priority="3246">
      <formula>$AE148=3</formula>
    </cfRule>
    <cfRule type="expression" dxfId="3593" priority="3247">
      <formula>$AE148=2</formula>
    </cfRule>
    <cfRule type="expression" dxfId="3592" priority="3248">
      <formula>$AE148=1</formula>
    </cfRule>
  </conditionalFormatting>
  <conditionalFormatting sqref="X148:Y148">
    <cfRule type="expression" dxfId="3591" priority="3241">
      <formula>$AF148=4</formula>
    </cfRule>
    <cfRule type="expression" dxfId="3590" priority="3242">
      <formula>$AF148=3</formula>
    </cfRule>
    <cfRule type="expression" dxfId="3589" priority="3243">
      <formula>$AF148=2</formula>
    </cfRule>
    <cfRule type="expression" dxfId="3588" priority="3244">
      <formula>$AF148=1</formula>
    </cfRule>
  </conditionalFormatting>
  <conditionalFormatting sqref="H148:K148">
    <cfRule type="expression" dxfId="3587" priority="3240">
      <formula>$AC148=2</formula>
    </cfRule>
  </conditionalFormatting>
  <conditionalFormatting sqref="L148">
    <cfRule type="expression" dxfId="3586" priority="3235">
      <formula>$AC148=2</formula>
    </cfRule>
  </conditionalFormatting>
  <conditionalFormatting sqref="O148">
    <cfRule type="expression" dxfId="3585" priority="3233">
      <formula>$AC148=2</formula>
    </cfRule>
  </conditionalFormatting>
  <conditionalFormatting sqref="V148">
    <cfRule type="expression" dxfId="3584" priority="3232">
      <formula>$AC148=2</formula>
    </cfRule>
  </conditionalFormatting>
  <conditionalFormatting sqref="J163:K163">
    <cfRule type="expression" dxfId="3583" priority="3228">
      <formula>$AD163=4</formula>
    </cfRule>
    <cfRule type="expression" dxfId="3582" priority="3229">
      <formula>$AD163=3</formula>
    </cfRule>
    <cfRule type="expression" dxfId="3581" priority="3230">
      <formula>$AD163=2</formula>
    </cfRule>
    <cfRule type="expression" dxfId="3580" priority="3231">
      <formula>$AD163=1</formula>
    </cfRule>
  </conditionalFormatting>
  <conditionalFormatting sqref="Q163:R163">
    <cfRule type="expression" dxfId="3579" priority="3224">
      <formula>$AE163=4</formula>
    </cfRule>
    <cfRule type="expression" dxfId="3578" priority="3225">
      <formula>$AE163=3</formula>
    </cfRule>
    <cfRule type="expression" dxfId="3577" priority="3226">
      <formula>$AE163=2</formula>
    </cfRule>
    <cfRule type="expression" dxfId="3576" priority="3227">
      <formula>$AE163=1</formula>
    </cfRule>
  </conditionalFormatting>
  <conditionalFormatting sqref="X163:Y163">
    <cfRule type="expression" dxfId="3575" priority="3220">
      <formula>$AF163=4</formula>
    </cfRule>
    <cfRule type="expression" dxfId="3574" priority="3221">
      <formula>$AF163=3</formula>
    </cfRule>
    <cfRule type="expression" dxfId="3573" priority="3222">
      <formula>$AF163=2</formula>
    </cfRule>
    <cfRule type="expression" dxfId="3572" priority="3223">
      <formula>$AF163=1</formula>
    </cfRule>
  </conditionalFormatting>
  <conditionalFormatting sqref="H163:K163">
    <cfRule type="expression" dxfId="3571" priority="3219">
      <formula>$AC163=2</formula>
    </cfRule>
  </conditionalFormatting>
  <conditionalFormatting sqref="L163">
    <cfRule type="expression" dxfId="3570" priority="3214">
      <formula>$AC163=2</formula>
    </cfRule>
  </conditionalFormatting>
  <conditionalFormatting sqref="O163">
    <cfRule type="expression" dxfId="3569" priority="3212">
      <formula>$AC163=2</formula>
    </cfRule>
  </conditionalFormatting>
  <conditionalFormatting sqref="V163">
    <cfRule type="expression" dxfId="3568" priority="3211">
      <formula>$AC163=2</formula>
    </cfRule>
  </conditionalFormatting>
  <conditionalFormatting sqref="J194:K194">
    <cfRule type="expression" dxfId="3567" priority="3207">
      <formula>$AD194=4</formula>
    </cfRule>
    <cfRule type="expression" dxfId="3566" priority="3208">
      <formula>$AD194=3</formula>
    </cfRule>
    <cfRule type="expression" dxfId="3565" priority="3209">
      <formula>$AD194=2</formula>
    </cfRule>
    <cfRule type="expression" dxfId="3564" priority="3210">
      <formula>$AD194=1</formula>
    </cfRule>
  </conditionalFormatting>
  <conditionalFormatting sqref="Q194:R194">
    <cfRule type="expression" dxfId="3563" priority="3203">
      <formula>$AE194=4</formula>
    </cfRule>
    <cfRule type="expression" dxfId="3562" priority="3204">
      <formula>$AE194=3</formula>
    </cfRule>
    <cfRule type="expression" dxfId="3561" priority="3205">
      <formula>$AE194=2</formula>
    </cfRule>
    <cfRule type="expression" dxfId="3560" priority="3206">
      <formula>$AE194=1</formula>
    </cfRule>
  </conditionalFormatting>
  <conditionalFormatting sqref="X194:Y194">
    <cfRule type="expression" dxfId="3559" priority="3199">
      <formula>$AF194=4</formula>
    </cfRule>
    <cfRule type="expression" dxfId="3558" priority="3200">
      <formula>$AF194=3</formula>
    </cfRule>
    <cfRule type="expression" dxfId="3557" priority="3201">
      <formula>$AF194=2</formula>
    </cfRule>
    <cfRule type="expression" dxfId="3556" priority="3202">
      <formula>$AF194=1</formula>
    </cfRule>
  </conditionalFormatting>
  <conditionalFormatting sqref="H194:K194">
    <cfRule type="expression" dxfId="3555" priority="3198">
      <formula>$AC194=2</formula>
    </cfRule>
  </conditionalFormatting>
  <conditionalFormatting sqref="L194">
    <cfRule type="expression" dxfId="3554" priority="3193">
      <formula>$AC194=2</formula>
    </cfRule>
  </conditionalFormatting>
  <conditionalFormatting sqref="O194">
    <cfRule type="expression" dxfId="3553" priority="3191">
      <formula>$AC194=2</formula>
    </cfRule>
  </conditionalFormatting>
  <conditionalFormatting sqref="V194">
    <cfRule type="expression" dxfId="3552" priority="3190">
      <formula>$AC194=2</formula>
    </cfRule>
  </conditionalFormatting>
  <conditionalFormatting sqref="Q46:R46">
    <cfRule type="expression" dxfId="3551" priority="3186">
      <formula>$AE46=4</formula>
    </cfRule>
    <cfRule type="expression" dxfId="3550" priority="3187">
      <formula>$AE46=3</formula>
    </cfRule>
    <cfRule type="expression" dxfId="3549" priority="3188">
      <formula>$AE46=2</formula>
    </cfRule>
    <cfRule type="expression" dxfId="3548" priority="3189">
      <formula>$AE46=1</formula>
    </cfRule>
  </conditionalFormatting>
  <conditionalFormatting sqref="X46:Y46">
    <cfRule type="expression" dxfId="3547" priority="3182">
      <formula>$AF46=4</formula>
    </cfRule>
    <cfRule type="expression" dxfId="3546" priority="3183">
      <formula>$AF46=3</formula>
    </cfRule>
    <cfRule type="expression" dxfId="3545" priority="3184">
      <formula>$AF46=2</formula>
    </cfRule>
    <cfRule type="expression" dxfId="3544" priority="3185">
      <formula>$AF46=1</formula>
    </cfRule>
  </conditionalFormatting>
  <conditionalFormatting sqref="X46:Y46">
    <cfRule type="expression" dxfId="3543" priority="3181">
      <formula>$AC46=2</formula>
    </cfRule>
  </conditionalFormatting>
  <conditionalFormatting sqref="J46:K46">
    <cfRule type="expression" dxfId="3542" priority="3172">
      <formula>$AD46=4</formula>
    </cfRule>
    <cfRule type="expression" dxfId="3541" priority="3173">
      <formula>$AD46=3</formula>
    </cfRule>
    <cfRule type="expression" dxfId="3540" priority="3174">
      <formula>$AD46=2</formula>
    </cfRule>
    <cfRule type="expression" dxfId="3539" priority="3175">
      <formula>$AD46=1</formula>
    </cfRule>
  </conditionalFormatting>
  <conditionalFormatting sqref="J46:K46">
    <cfRule type="expression" dxfId="3538" priority="3171">
      <formula>$AC46=2</formula>
    </cfRule>
  </conditionalFormatting>
  <conditionalFormatting sqref="L46">
    <cfRule type="expression" dxfId="3537" priority="3170">
      <formula>$AC46=2</formula>
    </cfRule>
  </conditionalFormatting>
  <conditionalFormatting sqref="O46">
    <cfRule type="expression" dxfId="3536" priority="3169">
      <formula>$AC46=2</formula>
    </cfRule>
  </conditionalFormatting>
  <conditionalFormatting sqref="V46">
    <cfRule type="expression" dxfId="3535" priority="3168">
      <formula>$AC46=2</formula>
    </cfRule>
  </conditionalFormatting>
  <conditionalFormatting sqref="Q51:R51">
    <cfRule type="expression" dxfId="3534" priority="3164">
      <formula>$AE51=4</formula>
    </cfRule>
    <cfRule type="expression" dxfId="3533" priority="3165">
      <formula>$AE51=3</formula>
    </cfRule>
    <cfRule type="expression" dxfId="3532" priority="3166">
      <formula>$AE51=2</formula>
    </cfRule>
    <cfRule type="expression" dxfId="3531" priority="3167">
      <formula>$AE51=1</formula>
    </cfRule>
  </conditionalFormatting>
  <conditionalFormatting sqref="X51:Y51">
    <cfRule type="expression" dxfId="3530" priority="3160">
      <formula>$AF51=4</formula>
    </cfRule>
    <cfRule type="expression" dxfId="3529" priority="3161">
      <formula>$AF51=3</formula>
    </cfRule>
    <cfRule type="expression" dxfId="3528" priority="3162">
      <formula>$AF51=2</formula>
    </cfRule>
    <cfRule type="expression" dxfId="3527" priority="3163">
      <formula>$AF51=1</formula>
    </cfRule>
  </conditionalFormatting>
  <conditionalFormatting sqref="X51:Y51">
    <cfRule type="expression" dxfId="3526" priority="3159">
      <formula>$AC51=2</formula>
    </cfRule>
  </conditionalFormatting>
  <conditionalFormatting sqref="J51:K51">
    <cfRule type="expression" dxfId="3525" priority="3150">
      <formula>$AD51=4</formula>
    </cfRule>
    <cfRule type="expression" dxfId="3524" priority="3151">
      <formula>$AD51=3</formula>
    </cfRule>
    <cfRule type="expression" dxfId="3523" priority="3152">
      <formula>$AD51=2</formula>
    </cfRule>
    <cfRule type="expression" dxfId="3522" priority="3153">
      <formula>$AD51=1</formula>
    </cfRule>
  </conditionalFormatting>
  <conditionalFormatting sqref="J51:K51">
    <cfRule type="expression" dxfId="3521" priority="3149">
      <formula>$AC51=2</formula>
    </cfRule>
  </conditionalFormatting>
  <conditionalFormatting sqref="L51">
    <cfRule type="expression" dxfId="3520" priority="3148">
      <formula>$AC51=2</formula>
    </cfRule>
  </conditionalFormatting>
  <conditionalFormatting sqref="O51">
    <cfRule type="expression" dxfId="3519" priority="3147">
      <formula>$AC51=2</formula>
    </cfRule>
  </conditionalFormatting>
  <conditionalFormatting sqref="V51">
    <cfRule type="expression" dxfId="3518" priority="3146">
      <formula>$AC51=2</formula>
    </cfRule>
  </conditionalFormatting>
  <conditionalFormatting sqref="Q55:R55">
    <cfRule type="expression" dxfId="3517" priority="3142">
      <formula>$AE55=4</formula>
    </cfRule>
    <cfRule type="expression" dxfId="3516" priority="3143">
      <formula>$AE55=3</formula>
    </cfRule>
    <cfRule type="expression" dxfId="3515" priority="3144">
      <formula>$AE55=2</formula>
    </cfRule>
    <cfRule type="expression" dxfId="3514" priority="3145">
      <formula>$AE55=1</formula>
    </cfRule>
  </conditionalFormatting>
  <conditionalFormatting sqref="X55:Y55">
    <cfRule type="expression" dxfId="3513" priority="3138">
      <formula>$AF55=4</formula>
    </cfRule>
    <cfRule type="expression" dxfId="3512" priority="3139">
      <formula>$AF55=3</formula>
    </cfRule>
    <cfRule type="expression" dxfId="3511" priority="3140">
      <formula>$AF55=2</formula>
    </cfRule>
    <cfRule type="expression" dxfId="3510" priority="3141">
      <formula>$AF55=1</formula>
    </cfRule>
  </conditionalFormatting>
  <conditionalFormatting sqref="X55:Y55">
    <cfRule type="expression" dxfId="3509" priority="3137">
      <formula>$AC55=2</formula>
    </cfRule>
  </conditionalFormatting>
  <conditionalFormatting sqref="J55:K55">
    <cfRule type="expression" dxfId="3508" priority="3128">
      <formula>$AD55=4</formula>
    </cfRule>
    <cfRule type="expression" dxfId="3507" priority="3129">
      <formula>$AD55=3</formula>
    </cfRule>
    <cfRule type="expression" dxfId="3506" priority="3130">
      <formula>$AD55=2</formula>
    </cfRule>
    <cfRule type="expression" dxfId="3505" priority="3131">
      <formula>$AD55=1</formula>
    </cfRule>
  </conditionalFormatting>
  <conditionalFormatting sqref="J55:K55">
    <cfRule type="expression" dxfId="3504" priority="3127">
      <formula>$AC55=2</formula>
    </cfRule>
  </conditionalFormatting>
  <conditionalFormatting sqref="L55">
    <cfRule type="expression" dxfId="3503" priority="3126">
      <formula>$AC55=2</formula>
    </cfRule>
  </conditionalFormatting>
  <conditionalFormatting sqref="O55">
    <cfRule type="expression" dxfId="3502" priority="3125">
      <formula>$AC55=2</formula>
    </cfRule>
  </conditionalFormatting>
  <conditionalFormatting sqref="V55">
    <cfRule type="expression" dxfId="3501" priority="3124">
      <formula>$AC55=2</formula>
    </cfRule>
  </conditionalFormatting>
  <conditionalFormatting sqref="Q58:R58">
    <cfRule type="expression" dxfId="3500" priority="3120">
      <formula>$AE58=4</formula>
    </cfRule>
    <cfRule type="expression" dxfId="3499" priority="3121">
      <formula>$AE58=3</formula>
    </cfRule>
    <cfRule type="expression" dxfId="3498" priority="3122">
      <formula>$AE58=2</formula>
    </cfRule>
    <cfRule type="expression" dxfId="3497" priority="3123">
      <formula>$AE58=1</formula>
    </cfRule>
  </conditionalFormatting>
  <conditionalFormatting sqref="X58:Y58">
    <cfRule type="expression" dxfId="3496" priority="3116">
      <formula>$AF58=4</formula>
    </cfRule>
    <cfRule type="expression" dxfId="3495" priority="3117">
      <formula>$AF58=3</formula>
    </cfRule>
    <cfRule type="expression" dxfId="3494" priority="3118">
      <formula>$AF58=2</formula>
    </cfRule>
    <cfRule type="expression" dxfId="3493" priority="3119">
      <formula>$AF58=1</formula>
    </cfRule>
  </conditionalFormatting>
  <conditionalFormatting sqref="X58:Y58">
    <cfRule type="expression" dxfId="3492" priority="3115">
      <formula>$AC58=2</formula>
    </cfRule>
  </conditionalFormatting>
  <conditionalFormatting sqref="J58:K58">
    <cfRule type="expression" dxfId="3491" priority="3106">
      <formula>$AD58=4</formula>
    </cfRule>
    <cfRule type="expression" dxfId="3490" priority="3107">
      <formula>$AD58=3</formula>
    </cfRule>
    <cfRule type="expression" dxfId="3489" priority="3108">
      <formula>$AD58=2</formula>
    </cfRule>
    <cfRule type="expression" dxfId="3488" priority="3109">
      <formula>$AD58=1</formula>
    </cfRule>
  </conditionalFormatting>
  <conditionalFormatting sqref="J58:K58">
    <cfRule type="expression" dxfId="3487" priority="3105">
      <formula>$AC58=2</formula>
    </cfRule>
  </conditionalFormatting>
  <conditionalFormatting sqref="L58">
    <cfRule type="expression" dxfId="3486" priority="3104">
      <formula>$AC58=2</formula>
    </cfRule>
  </conditionalFormatting>
  <conditionalFormatting sqref="O58">
    <cfRule type="expression" dxfId="3485" priority="3103">
      <formula>$AC58=2</formula>
    </cfRule>
  </conditionalFormatting>
  <conditionalFormatting sqref="V58">
    <cfRule type="expression" dxfId="3484" priority="3102">
      <formula>$AC58=2</formula>
    </cfRule>
  </conditionalFormatting>
  <conditionalFormatting sqref="Q61:R61">
    <cfRule type="expression" dxfId="3483" priority="3098">
      <formula>$AE61=4</formula>
    </cfRule>
    <cfRule type="expression" dxfId="3482" priority="3099">
      <formula>$AE61=3</formula>
    </cfRule>
    <cfRule type="expression" dxfId="3481" priority="3100">
      <formula>$AE61=2</formula>
    </cfRule>
    <cfRule type="expression" dxfId="3480" priority="3101">
      <formula>$AE61=1</formula>
    </cfRule>
  </conditionalFormatting>
  <conditionalFormatting sqref="X61:Y61">
    <cfRule type="expression" dxfId="3479" priority="3094">
      <formula>$AF61=4</formula>
    </cfRule>
    <cfRule type="expression" dxfId="3478" priority="3095">
      <formula>$AF61=3</formula>
    </cfRule>
    <cfRule type="expression" dxfId="3477" priority="3096">
      <formula>$AF61=2</formula>
    </cfRule>
    <cfRule type="expression" dxfId="3476" priority="3097">
      <formula>$AF61=1</formula>
    </cfRule>
  </conditionalFormatting>
  <conditionalFormatting sqref="X61:Y61">
    <cfRule type="expression" dxfId="3475" priority="3093">
      <formula>$AC61=2</formula>
    </cfRule>
  </conditionalFormatting>
  <conditionalFormatting sqref="J61:K61">
    <cfRule type="expression" dxfId="3474" priority="3084">
      <formula>$AD61=4</formula>
    </cfRule>
    <cfRule type="expression" dxfId="3473" priority="3085">
      <formula>$AD61=3</formula>
    </cfRule>
    <cfRule type="expression" dxfId="3472" priority="3086">
      <formula>$AD61=2</formula>
    </cfRule>
    <cfRule type="expression" dxfId="3471" priority="3087">
      <formula>$AD61=1</formula>
    </cfRule>
  </conditionalFormatting>
  <conditionalFormatting sqref="J61:K61">
    <cfRule type="expression" dxfId="3470" priority="3083">
      <formula>$AC61=2</formula>
    </cfRule>
  </conditionalFormatting>
  <conditionalFormatting sqref="L61">
    <cfRule type="expression" dxfId="3469" priority="3082">
      <formula>$AC61=2</formula>
    </cfRule>
  </conditionalFormatting>
  <conditionalFormatting sqref="O61">
    <cfRule type="expression" dxfId="3468" priority="4539">
      <formula>$AC61=2</formula>
    </cfRule>
  </conditionalFormatting>
  <conditionalFormatting sqref="V61">
    <cfRule type="expression" dxfId="3467" priority="3080">
      <formula>$AC61=2</formula>
    </cfRule>
  </conditionalFormatting>
  <conditionalFormatting sqref="Q73:R73">
    <cfRule type="expression" dxfId="3466" priority="3076">
      <formula>$AE73=4</formula>
    </cfRule>
    <cfRule type="expression" dxfId="3465" priority="3077">
      <formula>$AE73=3</formula>
    </cfRule>
    <cfRule type="expression" dxfId="3464" priority="3078">
      <formula>$AE73=2</formula>
    </cfRule>
    <cfRule type="expression" dxfId="3463" priority="3079">
      <formula>$AE73=1</formula>
    </cfRule>
  </conditionalFormatting>
  <conditionalFormatting sqref="X73:Y73">
    <cfRule type="expression" dxfId="3462" priority="3072">
      <formula>$AF73=4</formula>
    </cfRule>
    <cfRule type="expression" dxfId="3461" priority="3073">
      <formula>$AF73=3</formula>
    </cfRule>
    <cfRule type="expression" dxfId="3460" priority="3074">
      <formula>$AF73=2</formula>
    </cfRule>
    <cfRule type="expression" dxfId="3459" priority="3075">
      <formula>$AF73=1</formula>
    </cfRule>
  </conditionalFormatting>
  <conditionalFormatting sqref="X73:Y73">
    <cfRule type="expression" dxfId="3458" priority="3071">
      <formula>$AC73=2</formula>
    </cfRule>
  </conditionalFormatting>
  <conditionalFormatting sqref="J73:K73">
    <cfRule type="expression" dxfId="3457" priority="3062">
      <formula>$AD73=4</formula>
    </cfRule>
    <cfRule type="expression" dxfId="3456" priority="3063">
      <formula>$AD73=3</formula>
    </cfRule>
    <cfRule type="expression" dxfId="3455" priority="3064">
      <formula>$AD73=2</formula>
    </cfRule>
    <cfRule type="expression" dxfId="3454" priority="3065">
      <formula>$AD73=1</formula>
    </cfRule>
  </conditionalFormatting>
  <conditionalFormatting sqref="J73:K73">
    <cfRule type="expression" dxfId="3453" priority="3061">
      <formula>$AC73=2</formula>
    </cfRule>
  </conditionalFormatting>
  <conditionalFormatting sqref="L73">
    <cfRule type="expression" dxfId="3452" priority="3060">
      <formula>$AC73=2</formula>
    </cfRule>
  </conditionalFormatting>
  <conditionalFormatting sqref="O73">
    <cfRule type="expression" dxfId="3451" priority="3059">
      <formula>$AC73=2</formula>
    </cfRule>
  </conditionalFormatting>
  <conditionalFormatting sqref="V73">
    <cfRule type="expression" dxfId="3450" priority="3058">
      <formula>$AC73=2</formula>
    </cfRule>
  </conditionalFormatting>
  <conditionalFormatting sqref="Q77:R77">
    <cfRule type="expression" dxfId="3449" priority="3054">
      <formula>$AE77=4</formula>
    </cfRule>
    <cfRule type="expression" dxfId="3448" priority="3055">
      <formula>$AE77=3</formula>
    </cfRule>
    <cfRule type="expression" dxfId="3447" priority="3056">
      <formula>$AE77=2</formula>
    </cfRule>
    <cfRule type="expression" dxfId="3446" priority="3057">
      <formula>$AE77=1</formula>
    </cfRule>
  </conditionalFormatting>
  <conditionalFormatting sqref="X77:Y77">
    <cfRule type="expression" dxfId="3445" priority="3050">
      <formula>$AF77=4</formula>
    </cfRule>
    <cfRule type="expression" dxfId="3444" priority="3051">
      <formula>$AF77=3</formula>
    </cfRule>
    <cfRule type="expression" dxfId="3443" priority="3052">
      <formula>$AF77=2</formula>
    </cfRule>
    <cfRule type="expression" dxfId="3442" priority="3053">
      <formula>$AF77=1</formula>
    </cfRule>
  </conditionalFormatting>
  <conditionalFormatting sqref="X77:Y77">
    <cfRule type="expression" dxfId="3441" priority="3049">
      <formula>$AC77=2</formula>
    </cfRule>
  </conditionalFormatting>
  <conditionalFormatting sqref="J77:K77">
    <cfRule type="expression" dxfId="3440" priority="3040">
      <formula>$AD77=4</formula>
    </cfRule>
    <cfRule type="expression" dxfId="3439" priority="3041">
      <formula>$AD77=3</formula>
    </cfRule>
    <cfRule type="expression" dxfId="3438" priority="3042">
      <formula>$AD77=2</formula>
    </cfRule>
    <cfRule type="expression" dxfId="3437" priority="3043">
      <formula>$AD77=1</formula>
    </cfRule>
  </conditionalFormatting>
  <conditionalFormatting sqref="J77:K77">
    <cfRule type="expression" dxfId="3436" priority="3039">
      <formula>$AC77=2</formula>
    </cfRule>
  </conditionalFormatting>
  <conditionalFormatting sqref="L77">
    <cfRule type="expression" dxfId="3435" priority="3038">
      <formula>$AC77=2</formula>
    </cfRule>
  </conditionalFormatting>
  <conditionalFormatting sqref="O77">
    <cfRule type="expression" dxfId="3434" priority="3037">
      <formula>$AC77=2</formula>
    </cfRule>
  </conditionalFormatting>
  <conditionalFormatting sqref="V77">
    <cfRule type="expression" dxfId="3433" priority="3036">
      <formula>$AC77=2</formula>
    </cfRule>
  </conditionalFormatting>
  <conditionalFormatting sqref="Q80:R80">
    <cfRule type="expression" dxfId="3432" priority="3032">
      <formula>$AE80=4</formula>
    </cfRule>
    <cfRule type="expression" dxfId="3431" priority="3033">
      <formula>$AE80=3</formula>
    </cfRule>
    <cfRule type="expression" dxfId="3430" priority="3034">
      <formula>$AE80=2</formula>
    </cfRule>
    <cfRule type="expression" dxfId="3429" priority="3035">
      <formula>$AE80=1</formula>
    </cfRule>
  </conditionalFormatting>
  <conditionalFormatting sqref="X80:Y80">
    <cfRule type="expression" dxfId="3428" priority="3028">
      <formula>$AF80=4</formula>
    </cfRule>
    <cfRule type="expression" dxfId="3427" priority="3029">
      <formula>$AF80=3</formula>
    </cfRule>
    <cfRule type="expression" dxfId="3426" priority="3030">
      <formula>$AF80=2</formula>
    </cfRule>
    <cfRule type="expression" dxfId="3425" priority="3031">
      <formula>$AF80=1</formula>
    </cfRule>
  </conditionalFormatting>
  <conditionalFormatting sqref="X80:Y80">
    <cfRule type="expression" dxfId="3424" priority="3027">
      <formula>$AC80=2</formula>
    </cfRule>
  </conditionalFormatting>
  <conditionalFormatting sqref="J80:K80">
    <cfRule type="expression" dxfId="3423" priority="3018">
      <formula>$AD80=4</formula>
    </cfRule>
    <cfRule type="expression" dxfId="3422" priority="3019">
      <formula>$AD80=3</formula>
    </cfRule>
    <cfRule type="expression" dxfId="3421" priority="3020">
      <formula>$AD80=2</formula>
    </cfRule>
    <cfRule type="expression" dxfId="3420" priority="3021">
      <formula>$AD80=1</formula>
    </cfRule>
  </conditionalFormatting>
  <conditionalFormatting sqref="J80:K80">
    <cfRule type="expression" dxfId="3419" priority="3017">
      <formula>$AC80=2</formula>
    </cfRule>
  </conditionalFormatting>
  <conditionalFormatting sqref="L80">
    <cfRule type="expression" dxfId="3418" priority="3016">
      <formula>$AC80=2</formula>
    </cfRule>
  </conditionalFormatting>
  <conditionalFormatting sqref="O80">
    <cfRule type="expression" dxfId="3417" priority="3015">
      <formula>$AC80=2</formula>
    </cfRule>
  </conditionalFormatting>
  <conditionalFormatting sqref="V80">
    <cfRule type="expression" dxfId="3416" priority="3014">
      <formula>$AC80=2</formula>
    </cfRule>
  </conditionalFormatting>
  <conditionalFormatting sqref="Q83:R83">
    <cfRule type="expression" dxfId="3415" priority="3010">
      <formula>$AE83=4</formula>
    </cfRule>
    <cfRule type="expression" dxfId="3414" priority="3011">
      <formula>$AE83=3</formula>
    </cfRule>
    <cfRule type="expression" dxfId="3413" priority="3012">
      <formula>$AE83=2</formula>
    </cfRule>
    <cfRule type="expression" dxfId="3412" priority="3013">
      <formula>$AE83=1</formula>
    </cfRule>
  </conditionalFormatting>
  <conditionalFormatting sqref="X83:Y83">
    <cfRule type="expression" dxfId="3411" priority="3006">
      <formula>$AF83=4</formula>
    </cfRule>
    <cfRule type="expression" dxfId="3410" priority="3007">
      <formula>$AF83=3</formula>
    </cfRule>
    <cfRule type="expression" dxfId="3409" priority="3008">
      <formula>$AF83=2</formula>
    </cfRule>
    <cfRule type="expression" dxfId="3408" priority="3009">
      <formula>$AF83=1</formula>
    </cfRule>
  </conditionalFormatting>
  <conditionalFormatting sqref="X83:Y83">
    <cfRule type="expression" dxfId="3407" priority="3005">
      <formula>$AC83=2</formula>
    </cfRule>
  </conditionalFormatting>
  <conditionalFormatting sqref="J83:K83">
    <cfRule type="expression" dxfId="3406" priority="2996">
      <formula>$AD83=4</formula>
    </cfRule>
    <cfRule type="expression" dxfId="3405" priority="2997">
      <formula>$AD83=3</formula>
    </cfRule>
    <cfRule type="expression" dxfId="3404" priority="2998">
      <formula>$AD83=2</formula>
    </cfRule>
    <cfRule type="expression" dxfId="3403" priority="2999">
      <formula>$AD83=1</formula>
    </cfRule>
  </conditionalFormatting>
  <conditionalFormatting sqref="J83:K83">
    <cfRule type="expression" dxfId="3402" priority="2995">
      <formula>$AC83=2</formula>
    </cfRule>
  </conditionalFormatting>
  <conditionalFormatting sqref="L83">
    <cfRule type="expression" dxfId="3401" priority="2994">
      <formula>$AC83=2</formula>
    </cfRule>
  </conditionalFormatting>
  <conditionalFormatting sqref="O83">
    <cfRule type="expression" dxfId="3400" priority="2993">
      <formula>$AC83=2</formula>
    </cfRule>
  </conditionalFormatting>
  <conditionalFormatting sqref="V83">
    <cfRule type="expression" dxfId="3399" priority="2992">
      <formula>$AC83=2</formula>
    </cfRule>
  </conditionalFormatting>
  <conditionalFormatting sqref="Q87:R87">
    <cfRule type="expression" dxfId="3398" priority="2988">
      <formula>$AE87=4</formula>
    </cfRule>
    <cfRule type="expression" dxfId="3397" priority="2989">
      <formula>$AE87=3</formula>
    </cfRule>
    <cfRule type="expression" dxfId="3396" priority="2990">
      <formula>$AE87=2</formula>
    </cfRule>
    <cfRule type="expression" dxfId="3395" priority="2991">
      <formula>$AE87=1</formula>
    </cfRule>
  </conditionalFormatting>
  <conditionalFormatting sqref="X87:Y87">
    <cfRule type="expression" dxfId="3394" priority="2984">
      <formula>$AF87=4</formula>
    </cfRule>
    <cfRule type="expression" dxfId="3393" priority="2985">
      <formula>$AF87=3</formula>
    </cfRule>
    <cfRule type="expression" dxfId="3392" priority="2986">
      <formula>$AF87=2</formula>
    </cfRule>
    <cfRule type="expression" dxfId="3391" priority="2987">
      <formula>$AF87=1</formula>
    </cfRule>
  </conditionalFormatting>
  <conditionalFormatting sqref="X87:Y87">
    <cfRule type="expression" dxfId="3390" priority="2983">
      <formula>$AC87=2</formula>
    </cfRule>
  </conditionalFormatting>
  <conditionalFormatting sqref="J87:K87">
    <cfRule type="expression" dxfId="3389" priority="2974">
      <formula>$AD87=4</formula>
    </cfRule>
    <cfRule type="expression" dxfId="3388" priority="2975">
      <formula>$AD87=3</formula>
    </cfRule>
    <cfRule type="expression" dxfId="3387" priority="2976">
      <formula>$AD87=2</formula>
    </cfRule>
    <cfRule type="expression" dxfId="3386" priority="2977">
      <formula>$AD87=1</formula>
    </cfRule>
  </conditionalFormatting>
  <conditionalFormatting sqref="J87:K87">
    <cfRule type="expression" dxfId="3385" priority="2973">
      <formula>$AC87=2</formula>
    </cfRule>
  </conditionalFormatting>
  <conditionalFormatting sqref="L87">
    <cfRule type="expression" dxfId="3384" priority="2972">
      <formula>$AC87=2</formula>
    </cfRule>
  </conditionalFormatting>
  <conditionalFormatting sqref="O87">
    <cfRule type="expression" dxfId="3383" priority="2971">
      <formula>$AC87=2</formula>
    </cfRule>
  </conditionalFormatting>
  <conditionalFormatting sqref="V87">
    <cfRule type="expression" dxfId="3382" priority="2970">
      <formula>$AC87=2</formula>
    </cfRule>
  </conditionalFormatting>
  <conditionalFormatting sqref="Q90:R90">
    <cfRule type="expression" dxfId="3381" priority="2966">
      <formula>$AE90=4</formula>
    </cfRule>
    <cfRule type="expression" dxfId="3380" priority="2967">
      <formula>$AE90=3</formula>
    </cfRule>
    <cfRule type="expression" dxfId="3379" priority="2968">
      <formula>$AE90=2</formula>
    </cfRule>
    <cfRule type="expression" dxfId="3378" priority="2969">
      <formula>$AE90=1</formula>
    </cfRule>
  </conditionalFormatting>
  <conditionalFormatting sqref="X90:Y90">
    <cfRule type="expression" dxfId="3377" priority="2962">
      <formula>$AF90=4</formula>
    </cfRule>
    <cfRule type="expression" dxfId="3376" priority="2963">
      <formula>$AF90=3</formula>
    </cfRule>
    <cfRule type="expression" dxfId="3375" priority="2964">
      <formula>$AF90=2</formula>
    </cfRule>
    <cfRule type="expression" dxfId="3374" priority="2965">
      <formula>$AF90=1</formula>
    </cfRule>
  </conditionalFormatting>
  <conditionalFormatting sqref="X90:Y90">
    <cfRule type="expression" dxfId="3373" priority="2961">
      <formula>$AC90=2</formula>
    </cfRule>
  </conditionalFormatting>
  <conditionalFormatting sqref="J90:K90">
    <cfRule type="expression" dxfId="3372" priority="2952">
      <formula>$AD90=4</formula>
    </cfRule>
    <cfRule type="expression" dxfId="3371" priority="2953">
      <formula>$AD90=3</formula>
    </cfRule>
    <cfRule type="expression" dxfId="3370" priority="2954">
      <formula>$AD90=2</formula>
    </cfRule>
    <cfRule type="expression" dxfId="3369" priority="2955">
      <formula>$AD90=1</formula>
    </cfRule>
  </conditionalFormatting>
  <conditionalFormatting sqref="J90:K90">
    <cfRule type="expression" dxfId="3368" priority="2951">
      <formula>$AC90=2</formula>
    </cfRule>
  </conditionalFormatting>
  <conditionalFormatting sqref="L90">
    <cfRule type="expression" dxfId="3367" priority="2950">
      <formula>$AC90=2</formula>
    </cfRule>
  </conditionalFormatting>
  <conditionalFormatting sqref="O90">
    <cfRule type="expression" dxfId="3366" priority="2949">
      <formula>$AC90=2</formula>
    </cfRule>
  </conditionalFormatting>
  <conditionalFormatting sqref="V90">
    <cfRule type="expression" dxfId="3365" priority="2948">
      <formula>$AC90=2</formula>
    </cfRule>
  </conditionalFormatting>
  <conditionalFormatting sqref="Q98:R98">
    <cfRule type="expression" dxfId="3364" priority="2944">
      <formula>$AE98=4</formula>
    </cfRule>
    <cfRule type="expression" dxfId="3363" priority="2945">
      <formula>$AE98=3</formula>
    </cfRule>
    <cfRule type="expression" dxfId="3362" priority="2946">
      <formula>$AE98=2</formula>
    </cfRule>
    <cfRule type="expression" dxfId="3361" priority="2947">
      <formula>$AE98=1</formula>
    </cfRule>
  </conditionalFormatting>
  <conditionalFormatting sqref="X98:Y98">
    <cfRule type="expression" dxfId="3360" priority="2940">
      <formula>$AF98=4</formula>
    </cfRule>
    <cfRule type="expression" dxfId="3359" priority="2941">
      <formula>$AF98=3</formula>
    </cfRule>
    <cfRule type="expression" dxfId="3358" priority="2942">
      <formula>$AF98=2</formula>
    </cfRule>
    <cfRule type="expression" dxfId="3357" priority="2943">
      <formula>$AF98=1</formula>
    </cfRule>
  </conditionalFormatting>
  <conditionalFormatting sqref="X98:Y98">
    <cfRule type="expression" dxfId="3356" priority="2939">
      <formula>$AC98=2</formula>
    </cfRule>
  </conditionalFormatting>
  <conditionalFormatting sqref="J98:K98">
    <cfRule type="expression" dxfId="3355" priority="2930">
      <formula>$AD98=4</formula>
    </cfRule>
    <cfRule type="expression" dxfId="3354" priority="2931">
      <formula>$AD98=3</formula>
    </cfRule>
    <cfRule type="expression" dxfId="3353" priority="2932">
      <formula>$AD98=2</formula>
    </cfRule>
    <cfRule type="expression" dxfId="3352" priority="2933">
      <formula>$AD98=1</formula>
    </cfRule>
  </conditionalFormatting>
  <conditionalFormatting sqref="J98:K98">
    <cfRule type="expression" dxfId="3351" priority="2929">
      <formula>$AC98=2</formula>
    </cfRule>
  </conditionalFormatting>
  <conditionalFormatting sqref="L98">
    <cfRule type="expression" dxfId="3350" priority="2928">
      <formula>$AC98=2</formula>
    </cfRule>
  </conditionalFormatting>
  <conditionalFormatting sqref="O98">
    <cfRule type="expression" dxfId="3349" priority="2927">
      <formula>$AC98=2</formula>
    </cfRule>
  </conditionalFormatting>
  <conditionalFormatting sqref="V98">
    <cfRule type="expression" dxfId="3348" priority="2926">
      <formula>$AC98=2</formula>
    </cfRule>
  </conditionalFormatting>
  <conditionalFormatting sqref="Q107:R107">
    <cfRule type="expression" dxfId="3347" priority="2922">
      <formula>$AE107=4</formula>
    </cfRule>
    <cfRule type="expression" dxfId="3346" priority="2923">
      <formula>$AE107=3</formula>
    </cfRule>
    <cfRule type="expression" dxfId="3345" priority="2924">
      <formula>$AE107=2</formula>
    </cfRule>
    <cfRule type="expression" dxfId="3344" priority="2925">
      <formula>$AE107=1</formula>
    </cfRule>
  </conditionalFormatting>
  <conditionalFormatting sqref="X107:Y107">
    <cfRule type="expression" dxfId="3343" priority="2918">
      <formula>$AF107=4</formula>
    </cfRule>
    <cfRule type="expression" dxfId="3342" priority="2919">
      <formula>$AF107=3</formula>
    </cfRule>
    <cfRule type="expression" dxfId="3341" priority="2920">
      <formula>$AF107=2</formula>
    </cfRule>
    <cfRule type="expression" dxfId="3340" priority="2921">
      <formula>$AF107=1</formula>
    </cfRule>
  </conditionalFormatting>
  <conditionalFormatting sqref="X107:Y107">
    <cfRule type="expression" dxfId="3339" priority="2917">
      <formula>$AC107=2</formula>
    </cfRule>
  </conditionalFormatting>
  <conditionalFormatting sqref="J107:K107">
    <cfRule type="expression" dxfId="3338" priority="2908">
      <formula>$AD107=4</formula>
    </cfRule>
    <cfRule type="expression" dxfId="3337" priority="2909">
      <formula>$AD107=3</formula>
    </cfRule>
    <cfRule type="expression" dxfId="3336" priority="2910">
      <formula>$AD107=2</formula>
    </cfRule>
    <cfRule type="expression" dxfId="3335" priority="2911">
      <formula>$AD107=1</formula>
    </cfRule>
  </conditionalFormatting>
  <conditionalFormatting sqref="J107:K107">
    <cfRule type="expression" dxfId="3334" priority="2907">
      <formula>$AC107=2</formula>
    </cfRule>
  </conditionalFormatting>
  <conditionalFormatting sqref="L107">
    <cfRule type="expression" dxfId="3333" priority="2906">
      <formula>$AC107=2</formula>
    </cfRule>
  </conditionalFormatting>
  <conditionalFormatting sqref="O107">
    <cfRule type="expression" dxfId="3332" priority="2905">
      <formula>$AC107=2</formula>
    </cfRule>
  </conditionalFormatting>
  <conditionalFormatting sqref="V107">
    <cfRule type="expression" dxfId="3331" priority="2904">
      <formula>$AC107=2</formula>
    </cfRule>
  </conditionalFormatting>
  <conditionalFormatting sqref="Q109:R109">
    <cfRule type="expression" dxfId="3330" priority="2900">
      <formula>$AE109=4</formula>
    </cfRule>
    <cfRule type="expression" dxfId="3329" priority="2901">
      <formula>$AE109=3</formula>
    </cfRule>
    <cfRule type="expression" dxfId="3328" priority="2902">
      <formula>$AE109=2</formula>
    </cfRule>
    <cfRule type="expression" dxfId="3327" priority="2903">
      <formula>$AE109=1</formula>
    </cfRule>
  </conditionalFormatting>
  <conditionalFormatting sqref="X109:Y109">
    <cfRule type="expression" dxfId="3326" priority="2896">
      <formula>$AF109=4</formula>
    </cfRule>
    <cfRule type="expression" dxfId="3325" priority="2897">
      <formula>$AF109=3</formula>
    </cfRule>
    <cfRule type="expression" dxfId="3324" priority="2898">
      <formula>$AF109=2</formula>
    </cfRule>
    <cfRule type="expression" dxfId="3323" priority="2899">
      <formula>$AF109=1</formula>
    </cfRule>
  </conditionalFormatting>
  <conditionalFormatting sqref="X109:Y109">
    <cfRule type="expression" dxfId="3322" priority="2895">
      <formula>$AC109=2</formula>
    </cfRule>
  </conditionalFormatting>
  <conditionalFormatting sqref="J109:K109">
    <cfRule type="expression" dxfId="3321" priority="2886">
      <formula>$AD109=4</formula>
    </cfRule>
    <cfRule type="expression" dxfId="3320" priority="2887">
      <formula>$AD109=3</formula>
    </cfRule>
    <cfRule type="expression" dxfId="3319" priority="2888">
      <formula>$AD109=2</formula>
    </cfRule>
    <cfRule type="expression" dxfId="3318" priority="2889">
      <formula>$AD109=1</formula>
    </cfRule>
  </conditionalFormatting>
  <conditionalFormatting sqref="L109">
    <cfRule type="expression" dxfId="3317" priority="2884">
      <formula>$AC109=2</formula>
    </cfRule>
  </conditionalFormatting>
  <conditionalFormatting sqref="V109">
    <cfRule type="expression" dxfId="3316" priority="2882">
      <formula>$AC109=2</formula>
    </cfRule>
  </conditionalFormatting>
  <conditionalFormatting sqref="Q113:R113">
    <cfRule type="expression" dxfId="3315" priority="2878">
      <formula>$AE113=4</formula>
    </cfRule>
    <cfRule type="expression" dxfId="3314" priority="2879">
      <formula>$AE113=3</formula>
    </cfRule>
    <cfRule type="expression" dxfId="3313" priority="2880">
      <formula>$AE113=2</formula>
    </cfRule>
    <cfRule type="expression" dxfId="3312" priority="2881">
      <formula>$AE113=1</formula>
    </cfRule>
  </conditionalFormatting>
  <conditionalFormatting sqref="X113:Y113">
    <cfRule type="expression" dxfId="3311" priority="2874">
      <formula>$AF113=4</formula>
    </cfRule>
    <cfRule type="expression" dxfId="3310" priority="2875">
      <formula>$AF113=3</formula>
    </cfRule>
    <cfRule type="expression" dxfId="3309" priority="2876">
      <formula>$AF113=2</formula>
    </cfRule>
    <cfRule type="expression" dxfId="3308" priority="2877">
      <formula>$AF113=1</formula>
    </cfRule>
  </conditionalFormatting>
  <conditionalFormatting sqref="X113:Y113">
    <cfRule type="expression" dxfId="3307" priority="2873">
      <formula>$AC113=2</formula>
    </cfRule>
  </conditionalFormatting>
  <conditionalFormatting sqref="J113:K113">
    <cfRule type="expression" dxfId="3306" priority="2864">
      <formula>$AD113=4</formula>
    </cfRule>
    <cfRule type="expression" dxfId="3305" priority="2865">
      <formula>$AD113=3</formula>
    </cfRule>
    <cfRule type="expression" dxfId="3304" priority="2866">
      <formula>$AD113=2</formula>
    </cfRule>
    <cfRule type="expression" dxfId="3303" priority="2867">
      <formula>$AD113=1</formula>
    </cfRule>
  </conditionalFormatting>
  <conditionalFormatting sqref="J113:K113">
    <cfRule type="expression" dxfId="3302" priority="2863">
      <formula>$AC113=2</formula>
    </cfRule>
  </conditionalFormatting>
  <conditionalFormatting sqref="L113">
    <cfRule type="expression" dxfId="3301" priority="2862">
      <formula>$AC113=2</formula>
    </cfRule>
  </conditionalFormatting>
  <conditionalFormatting sqref="O113">
    <cfRule type="expression" dxfId="3300" priority="2861">
      <formula>$AC113=2</formula>
    </cfRule>
  </conditionalFormatting>
  <conditionalFormatting sqref="V113">
    <cfRule type="expression" dxfId="3299" priority="2860">
      <formula>$AC113=2</formula>
    </cfRule>
  </conditionalFormatting>
  <conditionalFormatting sqref="Q122:R122">
    <cfRule type="expression" dxfId="3298" priority="2856">
      <formula>$AE122=4</formula>
    </cfRule>
    <cfRule type="expression" dxfId="3297" priority="2857">
      <formula>$AE122=3</formula>
    </cfRule>
    <cfRule type="expression" dxfId="3296" priority="2858">
      <formula>$AE122=2</formula>
    </cfRule>
    <cfRule type="expression" dxfId="3295" priority="2859">
      <formula>$AE122=1</formula>
    </cfRule>
  </conditionalFormatting>
  <conditionalFormatting sqref="X122:Y122">
    <cfRule type="expression" dxfId="3294" priority="2852">
      <formula>$AF122=4</formula>
    </cfRule>
    <cfRule type="expression" dxfId="3293" priority="2853">
      <formula>$AF122=3</formula>
    </cfRule>
    <cfRule type="expression" dxfId="3292" priority="2854">
      <formula>$AF122=2</formula>
    </cfRule>
    <cfRule type="expression" dxfId="3291" priority="2855">
      <formula>$AF122=1</formula>
    </cfRule>
  </conditionalFormatting>
  <conditionalFormatting sqref="J122:K122">
    <cfRule type="expression" dxfId="3290" priority="2842">
      <formula>$AD122=4</formula>
    </cfRule>
    <cfRule type="expression" dxfId="3289" priority="2843">
      <formula>$AD122=3</formula>
    </cfRule>
    <cfRule type="expression" dxfId="3288" priority="2844">
      <formula>$AD122=2</formula>
    </cfRule>
    <cfRule type="expression" dxfId="3287" priority="2845">
      <formula>$AD122=1</formula>
    </cfRule>
  </conditionalFormatting>
  <conditionalFormatting sqref="J122:K122">
    <cfRule type="expression" dxfId="3286" priority="2841">
      <formula>$AC122=2</formula>
    </cfRule>
  </conditionalFormatting>
  <conditionalFormatting sqref="L122">
    <cfRule type="expression" dxfId="3285" priority="2840">
      <formula>$AC122=2</formula>
    </cfRule>
  </conditionalFormatting>
  <conditionalFormatting sqref="O122">
    <cfRule type="expression" dxfId="3284" priority="2839">
      <formula>$AC122=2</formula>
    </cfRule>
  </conditionalFormatting>
  <conditionalFormatting sqref="V122">
    <cfRule type="expression" dxfId="3283" priority="2838">
      <formula>$AC122=2</formula>
    </cfRule>
  </conditionalFormatting>
  <conditionalFormatting sqref="Q126:R126">
    <cfRule type="expression" dxfId="3282" priority="2834">
      <formula>$AE126=4</formula>
    </cfRule>
    <cfRule type="expression" dxfId="3281" priority="2835">
      <formula>$AE126=3</formula>
    </cfRule>
    <cfRule type="expression" dxfId="3280" priority="2836">
      <formula>$AE126=2</formula>
    </cfRule>
    <cfRule type="expression" dxfId="3279" priority="2837">
      <formula>$AE126=1</formula>
    </cfRule>
  </conditionalFormatting>
  <conditionalFormatting sqref="X126:Y126">
    <cfRule type="expression" dxfId="3278" priority="2830">
      <formula>$AF126=4</formula>
    </cfRule>
    <cfRule type="expression" dxfId="3277" priority="2831">
      <formula>$AF126=3</formula>
    </cfRule>
    <cfRule type="expression" dxfId="3276" priority="2832">
      <formula>$AF126=2</formula>
    </cfRule>
    <cfRule type="expression" dxfId="3275" priority="2833">
      <formula>$AF126=1</formula>
    </cfRule>
  </conditionalFormatting>
  <conditionalFormatting sqref="X126:Y126">
    <cfRule type="expression" dxfId="3274" priority="2829">
      <formula>$AC126=2</formula>
    </cfRule>
  </conditionalFormatting>
  <conditionalFormatting sqref="J126:K126">
    <cfRule type="expression" dxfId="3273" priority="2820">
      <formula>$AD126=4</formula>
    </cfRule>
    <cfRule type="expression" dxfId="3272" priority="2821">
      <formula>$AD126=3</formula>
    </cfRule>
    <cfRule type="expression" dxfId="3271" priority="2822">
      <formula>$AD126=2</formula>
    </cfRule>
    <cfRule type="expression" dxfId="3270" priority="2823">
      <formula>$AD126=1</formula>
    </cfRule>
  </conditionalFormatting>
  <conditionalFormatting sqref="J126:K126">
    <cfRule type="expression" dxfId="3269" priority="2819">
      <formula>$AC126=2</formula>
    </cfRule>
  </conditionalFormatting>
  <conditionalFormatting sqref="L126">
    <cfRule type="expression" dxfId="3268" priority="2818">
      <formula>$AC126=2</formula>
    </cfRule>
  </conditionalFormatting>
  <conditionalFormatting sqref="O126">
    <cfRule type="expression" dxfId="3267" priority="2817">
      <formula>$AC126=2</formula>
    </cfRule>
  </conditionalFormatting>
  <conditionalFormatting sqref="V126">
    <cfRule type="expression" dxfId="3266" priority="2816">
      <formula>$AC126=2</formula>
    </cfRule>
  </conditionalFormatting>
  <conditionalFormatting sqref="Q130:R130">
    <cfRule type="expression" dxfId="3265" priority="2812">
      <formula>$AE130=4</formula>
    </cfRule>
    <cfRule type="expression" dxfId="3264" priority="2813">
      <formula>$AE130=3</formula>
    </cfRule>
    <cfRule type="expression" dxfId="3263" priority="2814">
      <formula>$AE130=2</formula>
    </cfRule>
    <cfRule type="expression" dxfId="3262" priority="2815">
      <formula>$AE130=1</formula>
    </cfRule>
  </conditionalFormatting>
  <conditionalFormatting sqref="X130:Y130">
    <cfRule type="expression" dxfId="3261" priority="2808">
      <formula>$AF130=4</formula>
    </cfRule>
    <cfRule type="expression" dxfId="3260" priority="2809">
      <formula>$AF130=3</formula>
    </cfRule>
    <cfRule type="expression" dxfId="3259" priority="2810">
      <formula>$AF130=2</formula>
    </cfRule>
    <cfRule type="expression" dxfId="3258" priority="2811">
      <formula>$AF130=1</formula>
    </cfRule>
  </conditionalFormatting>
  <conditionalFormatting sqref="X130:Y130">
    <cfRule type="expression" dxfId="3257" priority="2807">
      <formula>$AC130=2</formula>
    </cfRule>
  </conditionalFormatting>
  <conditionalFormatting sqref="J130:K130">
    <cfRule type="expression" dxfId="3256" priority="2798">
      <formula>$AD130=4</formula>
    </cfRule>
    <cfRule type="expression" dxfId="3255" priority="2799">
      <formula>$AD130=3</formula>
    </cfRule>
    <cfRule type="expression" dxfId="3254" priority="2800">
      <formula>$AD130=2</formula>
    </cfRule>
    <cfRule type="expression" dxfId="3253" priority="2801">
      <formula>$AD130=1</formula>
    </cfRule>
  </conditionalFormatting>
  <conditionalFormatting sqref="J130:K130">
    <cfRule type="expression" dxfId="3252" priority="2797">
      <formula>$AC130=2</formula>
    </cfRule>
  </conditionalFormatting>
  <conditionalFormatting sqref="L130">
    <cfRule type="expression" dxfId="3251" priority="2796">
      <formula>$AC130=2</formula>
    </cfRule>
  </conditionalFormatting>
  <conditionalFormatting sqref="O130">
    <cfRule type="expression" dxfId="3250" priority="2795">
      <formula>$AC130=2</formula>
    </cfRule>
  </conditionalFormatting>
  <conditionalFormatting sqref="V130">
    <cfRule type="expression" dxfId="3249" priority="2794">
      <formula>$AC130=2</formula>
    </cfRule>
  </conditionalFormatting>
  <conditionalFormatting sqref="Q136:R136">
    <cfRule type="expression" dxfId="3248" priority="2790">
      <formula>$AE136=4</formula>
    </cfRule>
    <cfRule type="expression" dxfId="3247" priority="2791">
      <formula>$AE136=3</formula>
    </cfRule>
    <cfRule type="expression" dxfId="3246" priority="2792">
      <formula>$AE136=2</formula>
    </cfRule>
    <cfRule type="expression" dxfId="3245" priority="2793">
      <formula>$AE136=1</formula>
    </cfRule>
  </conditionalFormatting>
  <conditionalFormatting sqref="X136:Y136">
    <cfRule type="expression" dxfId="3244" priority="2786">
      <formula>$AF136=4</formula>
    </cfRule>
    <cfRule type="expression" dxfId="3243" priority="2787">
      <formula>$AF136=3</formula>
    </cfRule>
    <cfRule type="expression" dxfId="3242" priority="2788">
      <formula>$AF136=2</formula>
    </cfRule>
    <cfRule type="expression" dxfId="3241" priority="2789">
      <formula>$AF136=1</formula>
    </cfRule>
  </conditionalFormatting>
  <conditionalFormatting sqref="X136:Y136">
    <cfRule type="expression" dxfId="3240" priority="2785">
      <formula>$AC136=2</formula>
    </cfRule>
  </conditionalFormatting>
  <conditionalFormatting sqref="K136">
    <cfRule type="expression" dxfId="3239" priority="2776">
      <formula>$AD136=4</formula>
    </cfRule>
    <cfRule type="expression" dxfId="3238" priority="2777">
      <formula>$AD136=3</formula>
    </cfRule>
    <cfRule type="expression" dxfId="3237" priority="2778">
      <formula>$AD136=2</formula>
    </cfRule>
    <cfRule type="expression" dxfId="3236" priority="2779">
      <formula>$AD136=1</formula>
    </cfRule>
  </conditionalFormatting>
  <conditionalFormatting sqref="K136">
    <cfRule type="expression" dxfId="3235" priority="2775">
      <formula>$AC136=2</formula>
    </cfRule>
  </conditionalFormatting>
  <conditionalFormatting sqref="L136">
    <cfRule type="expression" dxfId="3234" priority="2774">
      <formula>$AC136=2</formula>
    </cfRule>
  </conditionalFormatting>
  <conditionalFormatting sqref="O136">
    <cfRule type="expression" dxfId="3233" priority="2773">
      <formula>$AC136=2</formula>
    </cfRule>
  </conditionalFormatting>
  <conditionalFormatting sqref="V136">
    <cfRule type="expression" dxfId="3232" priority="2772">
      <formula>$AC136=2</formula>
    </cfRule>
  </conditionalFormatting>
  <conditionalFormatting sqref="Q141:R141">
    <cfRule type="expression" dxfId="3231" priority="2768">
      <formula>$AE141=4</formula>
    </cfRule>
    <cfRule type="expression" dxfId="3230" priority="2769">
      <formula>$AE141=3</formula>
    </cfRule>
    <cfRule type="expression" dxfId="3229" priority="2770">
      <formula>$AE141=2</formula>
    </cfRule>
    <cfRule type="expression" dxfId="3228" priority="2771">
      <formula>$AE141=1</formula>
    </cfRule>
  </conditionalFormatting>
  <conditionalFormatting sqref="X141:Y141">
    <cfRule type="expression" dxfId="3227" priority="2764">
      <formula>$AF141=4</formula>
    </cfRule>
    <cfRule type="expression" dxfId="3226" priority="2765">
      <formula>$AF141=3</formula>
    </cfRule>
    <cfRule type="expression" dxfId="3225" priority="2766">
      <formula>$AF141=2</formula>
    </cfRule>
    <cfRule type="expression" dxfId="3224" priority="2767">
      <formula>$AF141=1</formula>
    </cfRule>
  </conditionalFormatting>
  <conditionalFormatting sqref="X141:Y141">
    <cfRule type="expression" dxfId="3223" priority="2763">
      <formula>$AC141=2</formula>
    </cfRule>
  </conditionalFormatting>
  <conditionalFormatting sqref="J141:K141">
    <cfRule type="expression" dxfId="3222" priority="2754">
      <formula>$AD141=4</formula>
    </cfRule>
    <cfRule type="expression" dxfId="3221" priority="2755">
      <formula>$AD141=3</formula>
    </cfRule>
    <cfRule type="expression" dxfId="3220" priority="2756">
      <formula>$AD141=2</formula>
    </cfRule>
    <cfRule type="expression" dxfId="3219" priority="2757">
      <formula>$AD141=1</formula>
    </cfRule>
  </conditionalFormatting>
  <conditionalFormatting sqref="J141:K141">
    <cfRule type="expression" dxfId="3218" priority="2753">
      <formula>$AC141=2</formula>
    </cfRule>
  </conditionalFormatting>
  <conditionalFormatting sqref="L141">
    <cfRule type="expression" dxfId="3217" priority="2752">
      <formula>$AC141=2</formula>
    </cfRule>
  </conditionalFormatting>
  <conditionalFormatting sqref="O141">
    <cfRule type="expression" dxfId="3216" priority="2751">
      <formula>$AC141=2</formula>
    </cfRule>
  </conditionalFormatting>
  <conditionalFormatting sqref="V141">
    <cfRule type="expression" dxfId="3215" priority="2750">
      <formula>$AC141=2</formula>
    </cfRule>
  </conditionalFormatting>
  <conditionalFormatting sqref="Q154:R154">
    <cfRule type="expression" dxfId="3214" priority="2746">
      <formula>$AE154=4</formula>
    </cfRule>
    <cfRule type="expression" dxfId="3213" priority="2747">
      <formula>$AE154=3</formula>
    </cfRule>
    <cfRule type="expression" dxfId="3212" priority="2748">
      <formula>$AE154=2</formula>
    </cfRule>
    <cfRule type="expression" dxfId="3211" priority="2749">
      <formula>$AE154=1</formula>
    </cfRule>
  </conditionalFormatting>
  <conditionalFormatting sqref="X154:Y154">
    <cfRule type="expression" dxfId="3210" priority="2742">
      <formula>$AF154=4</formula>
    </cfRule>
    <cfRule type="expression" dxfId="3209" priority="2743">
      <formula>$AF154=3</formula>
    </cfRule>
    <cfRule type="expression" dxfId="3208" priority="2744">
      <formula>$AF154=2</formula>
    </cfRule>
    <cfRule type="expression" dxfId="3207" priority="2745">
      <formula>$AF154=1</formula>
    </cfRule>
  </conditionalFormatting>
  <conditionalFormatting sqref="X154:Y154">
    <cfRule type="expression" dxfId="3206" priority="2741">
      <formula>$AC154=2</formula>
    </cfRule>
  </conditionalFormatting>
  <conditionalFormatting sqref="J154:K154">
    <cfRule type="expression" dxfId="3205" priority="2732">
      <formula>$AD154=4</formula>
    </cfRule>
    <cfRule type="expression" dxfId="3204" priority="2733">
      <formula>$AD154=3</formula>
    </cfRule>
    <cfRule type="expression" dxfId="3203" priority="2734">
      <formula>$AD154=2</formula>
    </cfRule>
    <cfRule type="expression" dxfId="3202" priority="2735">
      <formula>$AD154=1</formula>
    </cfRule>
  </conditionalFormatting>
  <conditionalFormatting sqref="J154:K154">
    <cfRule type="expression" dxfId="3201" priority="2731">
      <formula>$AC154=2</formula>
    </cfRule>
  </conditionalFormatting>
  <conditionalFormatting sqref="L154">
    <cfRule type="expression" dxfId="3200" priority="2730">
      <formula>$AC154=2</formula>
    </cfRule>
  </conditionalFormatting>
  <conditionalFormatting sqref="O154">
    <cfRule type="expression" dxfId="3199" priority="2729">
      <formula>$AC154=2</formula>
    </cfRule>
  </conditionalFormatting>
  <conditionalFormatting sqref="V154">
    <cfRule type="expression" dxfId="3198" priority="2728">
      <formula>$AC154=2</formula>
    </cfRule>
  </conditionalFormatting>
  <conditionalFormatting sqref="Q156:R156">
    <cfRule type="expression" dxfId="3197" priority="2724">
      <formula>$AE156=4</formula>
    </cfRule>
    <cfRule type="expression" dxfId="3196" priority="2725">
      <formula>$AE156=3</formula>
    </cfRule>
    <cfRule type="expression" dxfId="3195" priority="2726">
      <formula>$AE156=2</formula>
    </cfRule>
    <cfRule type="expression" dxfId="3194" priority="2727">
      <formula>$AE156=1</formula>
    </cfRule>
  </conditionalFormatting>
  <conditionalFormatting sqref="X156:Y156">
    <cfRule type="expression" dxfId="3193" priority="2720">
      <formula>$AF156=4</formula>
    </cfRule>
    <cfRule type="expression" dxfId="3192" priority="2721">
      <formula>$AF156=3</formula>
    </cfRule>
    <cfRule type="expression" dxfId="3191" priority="2722">
      <formula>$AF156=2</formula>
    </cfRule>
    <cfRule type="expression" dxfId="3190" priority="2723">
      <formula>$AF156=1</formula>
    </cfRule>
  </conditionalFormatting>
  <conditionalFormatting sqref="X156:Y156">
    <cfRule type="expression" dxfId="3189" priority="2719">
      <formula>$AC156=2</formula>
    </cfRule>
  </conditionalFormatting>
  <conditionalFormatting sqref="J156:K156">
    <cfRule type="expression" dxfId="3188" priority="2710">
      <formula>$AD156=4</formula>
    </cfRule>
    <cfRule type="expression" dxfId="3187" priority="2711">
      <formula>$AD156=3</formula>
    </cfRule>
    <cfRule type="expression" dxfId="3186" priority="2712">
      <formula>$AD156=2</formula>
    </cfRule>
    <cfRule type="expression" dxfId="3185" priority="2713">
      <formula>$AD156=1</formula>
    </cfRule>
  </conditionalFormatting>
  <conditionalFormatting sqref="J156:K156">
    <cfRule type="expression" dxfId="3184" priority="2709">
      <formula>$AC156=2</formula>
    </cfRule>
  </conditionalFormatting>
  <conditionalFormatting sqref="L156">
    <cfRule type="expression" dxfId="3183" priority="2708">
      <formula>$AC156=2</formula>
    </cfRule>
  </conditionalFormatting>
  <conditionalFormatting sqref="O156">
    <cfRule type="expression" dxfId="3182" priority="2707">
      <formula>$AC156=2</formula>
    </cfRule>
  </conditionalFormatting>
  <conditionalFormatting sqref="V156">
    <cfRule type="expression" dxfId="3181" priority="2706">
      <formula>$AC156=2</formula>
    </cfRule>
  </conditionalFormatting>
  <conditionalFormatting sqref="Q158:R158">
    <cfRule type="expression" dxfId="3180" priority="2702">
      <formula>$AE158=4</formula>
    </cfRule>
    <cfRule type="expression" dxfId="3179" priority="2703">
      <formula>$AE158=3</formula>
    </cfRule>
    <cfRule type="expression" dxfId="3178" priority="2704">
      <formula>$AE158=2</formula>
    </cfRule>
    <cfRule type="expression" dxfId="3177" priority="2705">
      <formula>$AE158=1</formula>
    </cfRule>
  </conditionalFormatting>
  <conditionalFormatting sqref="X158:Y158">
    <cfRule type="expression" dxfId="3176" priority="2698">
      <formula>$AF158=4</formula>
    </cfRule>
    <cfRule type="expression" dxfId="3175" priority="2699">
      <formula>$AF158=3</formula>
    </cfRule>
    <cfRule type="expression" dxfId="3174" priority="2700">
      <formula>$AF158=2</formula>
    </cfRule>
    <cfRule type="expression" dxfId="3173" priority="2701">
      <formula>$AF158=1</formula>
    </cfRule>
  </conditionalFormatting>
  <conditionalFormatting sqref="X158:Y158">
    <cfRule type="expression" dxfId="3172" priority="2697">
      <formula>$AC158=2</formula>
    </cfRule>
  </conditionalFormatting>
  <conditionalFormatting sqref="J158:K158">
    <cfRule type="expression" dxfId="3171" priority="2688">
      <formula>$AD158=4</formula>
    </cfRule>
    <cfRule type="expression" dxfId="3170" priority="2689">
      <formula>$AD158=3</formula>
    </cfRule>
    <cfRule type="expression" dxfId="3169" priority="2690">
      <formula>$AD158=2</formula>
    </cfRule>
    <cfRule type="expression" dxfId="3168" priority="2691">
      <formula>$AD158=1</formula>
    </cfRule>
  </conditionalFormatting>
  <conditionalFormatting sqref="J158:K158">
    <cfRule type="expression" dxfId="3167" priority="2687">
      <formula>$AC158=2</formula>
    </cfRule>
  </conditionalFormatting>
  <conditionalFormatting sqref="L158">
    <cfRule type="expression" dxfId="3166" priority="2686">
      <formula>$AC158=2</formula>
    </cfRule>
  </conditionalFormatting>
  <conditionalFormatting sqref="O158">
    <cfRule type="expression" dxfId="3165" priority="2685">
      <formula>$AC158=2</formula>
    </cfRule>
  </conditionalFormatting>
  <conditionalFormatting sqref="V158">
    <cfRule type="expression" dxfId="3164" priority="2684">
      <formula>$AC158=2</formula>
    </cfRule>
  </conditionalFormatting>
  <conditionalFormatting sqref="Q166:R166">
    <cfRule type="expression" dxfId="3163" priority="2680">
      <formula>$AE166=4</formula>
    </cfRule>
    <cfRule type="expression" dxfId="3162" priority="2681">
      <formula>$AE166=3</formula>
    </cfRule>
    <cfRule type="expression" dxfId="3161" priority="2682">
      <formula>$AE166=2</formula>
    </cfRule>
    <cfRule type="expression" dxfId="3160" priority="2683">
      <formula>$AE166=1</formula>
    </cfRule>
  </conditionalFormatting>
  <conditionalFormatting sqref="X166:Y166">
    <cfRule type="expression" dxfId="3159" priority="2676">
      <formula>$AF166=4</formula>
    </cfRule>
    <cfRule type="expression" dxfId="3158" priority="2677">
      <formula>$AF166=3</formula>
    </cfRule>
    <cfRule type="expression" dxfId="3157" priority="2678">
      <formula>$AF166=2</formula>
    </cfRule>
    <cfRule type="expression" dxfId="3156" priority="2679">
      <formula>$AF166=1</formula>
    </cfRule>
  </conditionalFormatting>
  <conditionalFormatting sqref="X166:Y166">
    <cfRule type="expression" dxfId="3155" priority="2675">
      <formula>$AC166=2</formula>
    </cfRule>
  </conditionalFormatting>
  <conditionalFormatting sqref="J166:K166">
    <cfRule type="expression" dxfId="3154" priority="2666">
      <formula>$AD166=4</formula>
    </cfRule>
    <cfRule type="expression" dxfId="3153" priority="2667">
      <formula>$AD166=3</formula>
    </cfRule>
    <cfRule type="expression" dxfId="3152" priority="2668">
      <formula>$AD166=2</formula>
    </cfRule>
    <cfRule type="expression" dxfId="3151" priority="2669">
      <formula>$AD166=1</formula>
    </cfRule>
  </conditionalFormatting>
  <conditionalFormatting sqref="J166:K166">
    <cfRule type="expression" dxfId="3150" priority="2665">
      <formula>$AC166=2</formula>
    </cfRule>
  </conditionalFormatting>
  <conditionalFormatting sqref="L166">
    <cfRule type="expression" dxfId="3149" priority="2664">
      <formula>$AC166=2</formula>
    </cfRule>
  </conditionalFormatting>
  <conditionalFormatting sqref="O166">
    <cfRule type="expression" dxfId="3148" priority="2663">
      <formula>$AC166=2</formula>
    </cfRule>
  </conditionalFormatting>
  <conditionalFormatting sqref="V166">
    <cfRule type="expression" dxfId="3147" priority="2662">
      <formula>$AC166=2</formula>
    </cfRule>
  </conditionalFormatting>
  <conditionalFormatting sqref="Q170:R170">
    <cfRule type="expression" dxfId="3146" priority="2658">
      <formula>$AE170=4</formula>
    </cfRule>
    <cfRule type="expression" dxfId="3145" priority="2659">
      <formula>$AE170=3</formula>
    </cfRule>
    <cfRule type="expression" dxfId="3144" priority="2660">
      <formula>$AE170=2</formula>
    </cfRule>
    <cfRule type="expression" dxfId="3143" priority="2661">
      <formula>$AE170=1</formula>
    </cfRule>
  </conditionalFormatting>
  <conditionalFormatting sqref="X170:Y170">
    <cfRule type="expression" dxfId="3142" priority="2654">
      <formula>$AF170=4</formula>
    </cfRule>
    <cfRule type="expression" dxfId="3141" priority="2655">
      <formula>$AF170=3</formula>
    </cfRule>
    <cfRule type="expression" dxfId="3140" priority="2656">
      <formula>$AF170=2</formula>
    </cfRule>
    <cfRule type="expression" dxfId="3139" priority="2657">
      <formula>$AF170=1</formula>
    </cfRule>
  </conditionalFormatting>
  <conditionalFormatting sqref="X170:Y170">
    <cfRule type="expression" dxfId="3138" priority="2653">
      <formula>$AC170=2</formula>
    </cfRule>
  </conditionalFormatting>
  <conditionalFormatting sqref="J170:K170">
    <cfRule type="expression" dxfId="3137" priority="2644">
      <formula>$AD170=4</formula>
    </cfRule>
    <cfRule type="expression" dxfId="3136" priority="2645">
      <formula>$AD170=3</formula>
    </cfRule>
    <cfRule type="expression" dxfId="3135" priority="2646">
      <formula>$AD170=2</formula>
    </cfRule>
    <cfRule type="expression" dxfId="3134" priority="2647">
      <formula>$AD170=1</formula>
    </cfRule>
  </conditionalFormatting>
  <conditionalFormatting sqref="J170:K170">
    <cfRule type="expression" dxfId="3133" priority="2643">
      <formula>$AC170=2</formula>
    </cfRule>
  </conditionalFormatting>
  <conditionalFormatting sqref="L170">
    <cfRule type="expression" dxfId="3132" priority="2642">
      <formula>$AC170=2</formula>
    </cfRule>
  </conditionalFormatting>
  <conditionalFormatting sqref="O170">
    <cfRule type="expression" dxfId="3131" priority="2641">
      <formula>$AC170=2</formula>
    </cfRule>
  </conditionalFormatting>
  <conditionalFormatting sqref="V170">
    <cfRule type="expression" dxfId="3130" priority="2640">
      <formula>$AC170=2</formula>
    </cfRule>
  </conditionalFormatting>
  <conditionalFormatting sqref="Q173:R173">
    <cfRule type="expression" dxfId="3129" priority="2636">
      <formula>$AE173=4</formula>
    </cfRule>
    <cfRule type="expression" dxfId="3128" priority="2637">
      <formula>$AE173=3</formula>
    </cfRule>
    <cfRule type="expression" dxfId="3127" priority="2638">
      <formula>$AE173=2</formula>
    </cfRule>
    <cfRule type="expression" dxfId="3126" priority="2639">
      <formula>$AE173=1</formula>
    </cfRule>
  </conditionalFormatting>
  <conditionalFormatting sqref="X173:Y173">
    <cfRule type="expression" dxfId="3125" priority="2632">
      <formula>$AF173=4</formula>
    </cfRule>
    <cfRule type="expression" dxfId="3124" priority="2633">
      <formula>$AF173=3</formula>
    </cfRule>
    <cfRule type="expression" dxfId="3123" priority="2634">
      <formula>$AF173=2</formula>
    </cfRule>
    <cfRule type="expression" dxfId="3122" priority="2635">
      <formula>$AF173=1</formula>
    </cfRule>
  </conditionalFormatting>
  <conditionalFormatting sqref="X173:Y173">
    <cfRule type="expression" dxfId="3121" priority="2631">
      <formula>$AC173=2</formula>
    </cfRule>
  </conditionalFormatting>
  <conditionalFormatting sqref="J173:K173">
    <cfRule type="expression" dxfId="3120" priority="2622">
      <formula>$AD173=4</formula>
    </cfRule>
    <cfRule type="expression" dxfId="3119" priority="2623">
      <formula>$AD173=3</formula>
    </cfRule>
    <cfRule type="expression" dxfId="3118" priority="2624">
      <formula>$AD173=2</formula>
    </cfRule>
    <cfRule type="expression" dxfId="3117" priority="2625">
      <formula>$AD173=1</formula>
    </cfRule>
  </conditionalFormatting>
  <conditionalFormatting sqref="J173:K173">
    <cfRule type="expression" dxfId="3116" priority="2621">
      <formula>$AC173=2</formula>
    </cfRule>
  </conditionalFormatting>
  <conditionalFormatting sqref="L173">
    <cfRule type="expression" dxfId="3115" priority="2620">
      <formula>$AC173=2</formula>
    </cfRule>
  </conditionalFormatting>
  <conditionalFormatting sqref="O173">
    <cfRule type="expression" dxfId="3114" priority="2619">
      <formula>$AC173=2</formula>
    </cfRule>
  </conditionalFormatting>
  <conditionalFormatting sqref="V173">
    <cfRule type="expression" dxfId="3113" priority="2618">
      <formula>$AC173=2</formula>
    </cfRule>
  </conditionalFormatting>
  <conditionalFormatting sqref="Q177:R177">
    <cfRule type="expression" dxfId="3112" priority="2614">
      <formula>$AE177=4</formula>
    </cfRule>
    <cfRule type="expression" dxfId="3111" priority="2615">
      <formula>$AE177=3</formula>
    </cfRule>
    <cfRule type="expression" dxfId="3110" priority="2616">
      <formula>$AE177=2</formula>
    </cfRule>
    <cfRule type="expression" dxfId="3109" priority="2617">
      <formula>$AE177=1</formula>
    </cfRule>
  </conditionalFormatting>
  <conditionalFormatting sqref="X177:Y177">
    <cfRule type="expression" dxfId="3108" priority="2610">
      <formula>$AF177=4</formula>
    </cfRule>
    <cfRule type="expression" dxfId="3107" priority="2611">
      <formula>$AF177=3</formula>
    </cfRule>
    <cfRule type="expression" dxfId="3106" priority="2612">
      <formula>$AF177=2</formula>
    </cfRule>
    <cfRule type="expression" dxfId="3105" priority="2613">
      <formula>$AF177=1</formula>
    </cfRule>
  </conditionalFormatting>
  <conditionalFormatting sqref="X177:Y177">
    <cfRule type="expression" dxfId="3104" priority="2609">
      <formula>$AC177=2</formula>
    </cfRule>
  </conditionalFormatting>
  <conditionalFormatting sqref="J177:K177">
    <cfRule type="expression" dxfId="3103" priority="2600">
      <formula>$AD177=4</formula>
    </cfRule>
    <cfRule type="expression" dxfId="3102" priority="2601">
      <formula>$AD177=3</formula>
    </cfRule>
    <cfRule type="expression" dxfId="3101" priority="2602">
      <formula>$AD177=2</formula>
    </cfRule>
    <cfRule type="expression" dxfId="3100" priority="2603">
      <formula>$AD177=1</formula>
    </cfRule>
  </conditionalFormatting>
  <conditionalFormatting sqref="J177:K177">
    <cfRule type="expression" dxfId="3099" priority="2599">
      <formula>$AC177=2</formula>
    </cfRule>
  </conditionalFormatting>
  <conditionalFormatting sqref="L177">
    <cfRule type="expression" dxfId="3098" priority="2598">
      <formula>$AC177=2</formula>
    </cfRule>
  </conditionalFormatting>
  <conditionalFormatting sqref="O177">
    <cfRule type="expression" dxfId="3097" priority="2597">
      <formula>$AC177=2</formula>
    </cfRule>
  </conditionalFormatting>
  <conditionalFormatting sqref="V177">
    <cfRule type="expression" dxfId="3096" priority="2596">
      <formula>$AC177=2</formula>
    </cfRule>
  </conditionalFormatting>
  <conditionalFormatting sqref="Q181:R181">
    <cfRule type="expression" dxfId="3095" priority="2592">
      <formula>$AE181=4</formula>
    </cfRule>
    <cfRule type="expression" dxfId="3094" priority="2593">
      <formula>$AE181=3</formula>
    </cfRule>
    <cfRule type="expression" dxfId="3093" priority="2594">
      <formula>$AE181=2</formula>
    </cfRule>
    <cfRule type="expression" dxfId="3092" priority="2595">
      <formula>$AE181=1</formula>
    </cfRule>
  </conditionalFormatting>
  <conditionalFormatting sqref="X181:Y181">
    <cfRule type="expression" dxfId="3091" priority="2588">
      <formula>$AF181=4</formula>
    </cfRule>
    <cfRule type="expression" dxfId="3090" priority="2589">
      <formula>$AF181=3</formula>
    </cfRule>
    <cfRule type="expression" dxfId="3089" priority="2590">
      <formula>$AF181=2</formula>
    </cfRule>
    <cfRule type="expression" dxfId="3088" priority="2591">
      <formula>$AF181=1</formula>
    </cfRule>
  </conditionalFormatting>
  <conditionalFormatting sqref="X181:Y181">
    <cfRule type="expression" dxfId="3087" priority="2587">
      <formula>$AC181=2</formula>
    </cfRule>
  </conditionalFormatting>
  <conditionalFormatting sqref="J181:K181">
    <cfRule type="expression" dxfId="3086" priority="2578">
      <formula>$AD181=4</formula>
    </cfRule>
    <cfRule type="expression" dxfId="3085" priority="2579">
      <formula>$AD181=3</formula>
    </cfRule>
    <cfRule type="expression" dxfId="3084" priority="2580">
      <formula>$AD181=2</formula>
    </cfRule>
    <cfRule type="expression" dxfId="3083" priority="2581">
      <formula>$AD181=1</formula>
    </cfRule>
  </conditionalFormatting>
  <conditionalFormatting sqref="J181:K181">
    <cfRule type="expression" dxfId="3082" priority="2577">
      <formula>$AC181=2</formula>
    </cfRule>
  </conditionalFormatting>
  <conditionalFormatting sqref="L181">
    <cfRule type="expression" dxfId="3081" priority="2576">
      <formula>$AC181=2</formula>
    </cfRule>
  </conditionalFormatting>
  <conditionalFormatting sqref="O181">
    <cfRule type="expression" dxfId="3080" priority="2575">
      <formula>$AC181=2</formula>
    </cfRule>
  </conditionalFormatting>
  <conditionalFormatting sqref="V181">
    <cfRule type="expression" dxfId="3079" priority="2574">
      <formula>$AC181=2</formula>
    </cfRule>
  </conditionalFormatting>
  <conditionalFormatting sqref="Q183:R183">
    <cfRule type="expression" dxfId="3078" priority="2570">
      <formula>$AE183=4</formula>
    </cfRule>
    <cfRule type="expression" dxfId="3077" priority="2571">
      <formula>$AE183=3</formula>
    </cfRule>
    <cfRule type="expression" dxfId="3076" priority="2572">
      <formula>$AE183=2</formula>
    </cfRule>
    <cfRule type="expression" dxfId="3075" priority="2573">
      <formula>$AE183=1</formula>
    </cfRule>
  </conditionalFormatting>
  <conditionalFormatting sqref="X183:Y183">
    <cfRule type="expression" dxfId="3074" priority="2566">
      <formula>$AF183=4</formula>
    </cfRule>
    <cfRule type="expression" dxfId="3073" priority="2567">
      <formula>$AF183=3</formula>
    </cfRule>
    <cfRule type="expression" dxfId="3072" priority="2568">
      <formula>$AF183=2</formula>
    </cfRule>
    <cfRule type="expression" dxfId="3071" priority="2569">
      <formula>$AF183=1</formula>
    </cfRule>
  </conditionalFormatting>
  <conditionalFormatting sqref="X183:Y183">
    <cfRule type="expression" dxfId="3070" priority="2565">
      <formula>$AC183=2</formula>
    </cfRule>
  </conditionalFormatting>
  <conditionalFormatting sqref="J183:K183">
    <cfRule type="expression" dxfId="3069" priority="2556">
      <formula>$AD183=4</formula>
    </cfRule>
    <cfRule type="expression" dxfId="3068" priority="2557">
      <formula>$AD183=3</formula>
    </cfRule>
    <cfRule type="expression" dxfId="3067" priority="2558">
      <formula>$AD183=2</formula>
    </cfRule>
    <cfRule type="expression" dxfId="3066" priority="2559">
      <formula>$AD183=1</formula>
    </cfRule>
  </conditionalFormatting>
  <conditionalFormatting sqref="J183:K183">
    <cfRule type="expression" dxfId="3065" priority="2555">
      <formula>$AC183=2</formula>
    </cfRule>
  </conditionalFormatting>
  <conditionalFormatting sqref="L183">
    <cfRule type="expression" dxfId="3064" priority="2554">
      <formula>$AC183=2</formula>
    </cfRule>
  </conditionalFormatting>
  <conditionalFormatting sqref="O183">
    <cfRule type="expression" dxfId="3063" priority="2553">
      <formula>$AC183=2</formula>
    </cfRule>
  </conditionalFormatting>
  <conditionalFormatting sqref="V183">
    <cfRule type="expression" dxfId="3062" priority="2552">
      <formula>$AC183=2</formula>
    </cfRule>
  </conditionalFormatting>
  <conditionalFormatting sqref="Q186:R186">
    <cfRule type="expression" dxfId="3061" priority="2548">
      <formula>$AE186=4</formula>
    </cfRule>
    <cfRule type="expression" dxfId="3060" priority="2549">
      <formula>$AE186=3</formula>
    </cfRule>
    <cfRule type="expression" dxfId="3059" priority="2550">
      <formula>$AE186=2</formula>
    </cfRule>
    <cfRule type="expression" dxfId="3058" priority="2551">
      <formula>$AE186=1</formula>
    </cfRule>
  </conditionalFormatting>
  <conditionalFormatting sqref="X186:Y186">
    <cfRule type="expression" dxfId="3057" priority="2544">
      <formula>$AF186=4</formula>
    </cfRule>
    <cfRule type="expression" dxfId="3056" priority="2545">
      <formula>$AF186=3</formula>
    </cfRule>
    <cfRule type="expression" dxfId="3055" priority="2546">
      <formula>$AF186=2</formula>
    </cfRule>
    <cfRule type="expression" dxfId="3054" priority="2547">
      <formula>$AF186=1</formula>
    </cfRule>
  </conditionalFormatting>
  <conditionalFormatting sqref="X186:Y186">
    <cfRule type="expression" dxfId="3053" priority="2543">
      <formula>$AC186=2</formula>
    </cfRule>
  </conditionalFormatting>
  <conditionalFormatting sqref="J186:K186">
    <cfRule type="expression" dxfId="3052" priority="2534">
      <formula>$AD186=4</formula>
    </cfRule>
    <cfRule type="expression" dxfId="3051" priority="2535">
      <formula>$AD186=3</formula>
    </cfRule>
    <cfRule type="expression" dxfId="3050" priority="2536">
      <formula>$AD186=2</formula>
    </cfRule>
    <cfRule type="expression" dxfId="3049" priority="2537">
      <formula>$AD186=1</formula>
    </cfRule>
  </conditionalFormatting>
  <conditionalFormatting sqref="J186:K186">
    <cfRule type="expression" dxfId="3048" priority="2533">
      <formula>$AC186=2</formula>
    </cfRule>
  </conditionalFormatting>
  <conditionalFormatting sqref="L186">
    <cfRule type="expression" dxfId="3047" priority="2532">
      <formula>$AC186=2</formula>
    </cfRule>
  </conditionalFormatting>
  <conditionalFormatting sqref="O186">
    <cfRule type="expression" dxfId="3046" priority="2531">
      <formula>$AC186=2</formula>
    </cfRule>
  </conditionalFormatting>
  <conditionalFormatting sqref="V186">
    <cfRule type="expression" dxfId="3045" priority="2530">
      <formula>$AC186=2</formula>
    </cfRule>
  </conditionalFormatting>
  <conditionalFormatting sqref="Q199:R199">
    <cfRule type="expression" dxfId="3044" priority="2526">
      <formula>$AE199=4</formula>
    </cfRule>
    <cfRule type="expression" dxfId="3043" priority="2527">
      <formula>$AE199=3</formula>
    </cfRule>
    <cfRule type="expression" dxfId="3042" priority="2528">
      <formula>$AE199=2</formula>
    </cfRule>
    <cfRule type="expression" dxfId="3041" priority="2529">
      <formula>$AE199=1</formula>
    </cfRule>
  </conditionalFormatting>
  <conditionalFormatting sqref="X199:Y199">
    <cfRule type="expression" dxfId="3040" priority="2522">
      <formula>$AF199=4</formula>
    </cfRule>
    <cfRule type="expression" dxfId="3039" priority="2523">
      <formula>$AF199=3</formula>
    </cfRule>
    <cfRule type="expression" dxfId="3038" priority="2524">
      <formula>$AF199=2</formula>
    </cfRule>
    <cfRule type="expression" dxfId="3037" priority="2525">
      <formula>$AF199=1</formula>
    </cfRule>
  </conditionalFormatting>
  <conditionalFormatting sqref="X199:Y199">
    <cfRule type="expression" dxfId="3036" priority="2521">
      <formula>$AC199=2</formula>
    </cfRule>
  </conditionalFormatting>
  <conditionalFormatting sqref="J199:K199">
    <cfRule type="expression" dxfId="3035" priority="2512">
      <formula>$AD199=4</formula>
    </cfRule>
    <cfRule type="expression" dxfId="3034" priority="2513">
      <formula>$AD199=3</formula>
    </cfRule>
    <cfRule type="expression" dxfId="3033" priority="2514">
      <formula>$AD199=2</formula>
    </cfRule>
    <cfRule type="expression" dxfId="3032" priority="2515">
      <formula>$AD199=1</formula>
    </cfRule>
  </conditionalFormatting>
  <conditionalFormatting sqref="J199:K199">
    <cfRule type="expression" dxfId="3031" priority="2511">
      <formula>$AC199=2</formula>
    </cfRule>
  </conditionalFormatting>
  <conditionalFormatting sqref="L199">
    <cfRule type="expression" dxfId="3030" priority="2510">
      <formula>$AC199=2</formula>
    </cfRule>
  </conditionalFormatting>
  <conditionalFormatting sqref="O199">
    <cfRule type="expression" dxfId="3029" priority="2509">
      <formula>$AC199=2</formula>
    </cfRule>
  </conditionalFormatting>
  <conditionalFormatting sqref="V199">
    <cfRule type="expression" dxfId="3028" priority="2508">
      <formula>$AC199=2</formula>
    </cfRule>
  </conditionalFormatting>
  <conditionalFormatting sqref="Q202:R202">
    <cfRule type="expression" dxfId="3027" priority="2504">
      <formula>$AE202=4</formula>
    </cfRule>
    <cfRule type="expression" dxfId="3026" priority="2505">
      <formula>$AE202=3</formula>
    </cfRule>
    <cfRule type="expression" dxfId="3025" priority="2506">
      <formula>$AE202=2</formula>
    </cfRule>
    <cfRule type="expression" dxfId="3024" priority="2507">
      <formula>$AE202=1</formula>
    </cfRule>
  </conditionalFormatting>
  <conditionalFormatting sqref="X202:Y202">
    <cfRule type="expression" dxfId="3023" priority="2500">
      <formula>$AF202=4</formula>
    </cfRule>
    <cfRule type="expression" dxfId="3022" priority="2501">
      <formula>$AF202=3</formula>
    </cfRule>
    <cfRule type="expression" dxfId="3021" priority="2502">
      <formula>$AF202=2</formula>
    </cfRule>
    <cfRule type="expression" dxfId="3020" priority="2503">
      <formula>$AF202=1</formula>
    </cfRule>
  </conditionalFormatting>
  <conditionalFormatting sqref="X202:Y202">
    <cfRule type="expression" dxfId="3019" priority="2499">
      <formula>$AC202=2</formula>
    </cfRule>
  </conditionalFormatting>
  <conditionalFormatting sqref="J202:K202">
    <cfRule type="expression" dxfId="3018" priority="2490">
      <formula>$AD202=4</formula>
    </cfRule>
    <cfRule type="expression" dxfId="3017" priority="2491">
      <formula>$AD202=3</formula>
    </cfRule>
    <cfRule type="expression" dxfId="3016" priority="2492">
      <formula>$AD202=2</formula>
    </cfRule>
    <cfRule type="expression" dxfId="3015" priority="2493">
      <formula>$AD202=1</formula>
    </cfRule>
  </conditionalFormatting>
  <conditionalFormatting sqref="J202:K202">
    <cfRule type="expression" dxfId="3014" priority="2489">
      <formula>$AC202=2</formula>
    </cfRule>
  </conditionalFormatting>
  <conditionalFormatting sqref="L202">
    <cfRule type="expression" dxfId="3013" priority="2488">
      <formula>$AC202=2</formula>
    </cfRule>
  </conditionalFormatting>
  <conditionalFormatting sqref="O202">
    <cfRule type="expression" dxfId="3012" priority="2487">
      <formula>$AC202=2</formula>
    </cfRule>
  </conditionalFormatting>
  <conditionalFormatting sqref="V202">
    <cfRule type="expression" dxfId="3011" priority="2486">
      <formula>$AC202=2</formula>
    </cfRule>
  </conditionalFormatting>
  <conditionalFormatting sqref="Q205:R205">
    <cfRule type="expression" dxfId="3010" priority="2482">
      <formula>$AE205=4</formula>
    </cfRule>
    <cfRule type="expression" dxfId="3009" priority="2483">
      <formula>$AE205=3</formula>
    </cfRule>
    <cfRule type="expression" dxfId="3008" priority="2484">
      <formula>$AE205=2</formula>
    </cfRule>
    <cfRule type="expression" dxfId="3007" priority="2485">
      <formula>$AE205=1</formula>
    </cfRule>
  </conditionalFormatting>
  <conditionalFormatting sqref="X205:Y205">
    <cfRule type="expression" dxfId="3006" priority="2478">
      <formula>$AF205=4</formula>
    </cfRule>
    <cfRule type="expression" dxfId="3005" priority="2479">
      <formula>$AF205=3</formula>
    </cfRule>
    <cfRule type="expression" dxfId="3004" priority="2480">
      <formula>$AF205=2</formula>
    </cfRule>
    <cfRule type="expression" dxfId="3003" priority="2481">
      <formula>$AF205=1</formula>
    </cfRule>
  </conditionalFormatting>
  <conditionalFormatting sqref="X205:Y205">
    <cfRule type="expression" dxfId="3002" priority="2477">
      <formula>$AC205=2</formula>
    </cfRule>
  </conditionalFormatting>
  <conditionalFormatting sqref="J205:K205">
    <cfRule type="expression" dxfId="3001" priority="2468">
      <formula>$AD205=4</formula>
    </cfRule>
    <cfRule type="expression" dxfId="3000" priority="2469">
      <formula>$AD205=3</formula>
    </cfRule>
    <cfRule type="expression" dxfId="2999" priority="2470">
      <formula>$AD205=2</formula>
    </cfRule>
    <cfRule type="expression" dxfId="2998" priority="2471">
      <formula>$AD205=1</formula>
    </cfRule>
  </conditionalFormatting>
  <conditionalFormatting sqref="J205:K205">
    <cfRule type="expression" dxfId="2997" priority="2467">
      <formula>$AC205=2</formula>
    </cfRule>
  </conditionalFormatting>
  <conditionalFormatting sqref="L205">
    <cfRule type="expression" dxfId="2996" priority="2466">
      <formula>$AC205=2</formula>
    </cfRule>
  </conditionalFormatting>
  <conditionalFormatting sqref="O205">
    <cfRule type="expression" dxfId="2995" priority="2465">
      <formula>$AC205=2</formula>
    </cfRule>
  </conditionalFormatting>
  <conditionalFormatting sqref="V205">
    <cfRule type="expression" dxfId="2994" priority="2464">
      <formula>$AC205=2</formula>
    </cfRule>
  </conditionalFormatting>
  <conditionalFormatting sqref="Q41:R45">
    <cfRule type="expression" dxfId="2993" priority="2460">
      <formula>$AE41=4</formula>
    </cfRule>
    <cfRule type="expression" dxfId="2992" priority="2461">
      <formula>$AE41=3</formula>
    </cfRule>
    <cfRule type="expression" dxfId="2991" priority="2462">
      <formula>$AE41=2</formula>
    </cfRule>
    <cfRule type="expression" dxfId="2990" priority="2463">
      <formula>$AE41=1</formula>
    </cfRule>
  </conditionalFormatting>
  <conditionalFormatting sqref="X41:Y45">
    <cfRule type="expression" dxfId="2989" priority="2456">
      <formula>$AF41=4</formula>
    </cfRule>
    <cfRule type="expression" dxfId="2988" priority="2457">
      <formula>$AF41=3</formula>
    </cfRule>
    <cfRule type="expression" dxfId="2987" priority="2458">
      <formula>$AF41=2</formula>
    </cfRule>
    <cfRule type="expression" dxfId="2986" priority="2459">
      <formula>$AF41=1</formula>
    </cfRule>
  </conditionalFormatting>
  <conditionalFormatting sqref="N41:N45">
    <cfRule type="expression" dxfId="2985" priority="2455">
      <formula>$AC41=2</formula>
    </cfRule>
  </conditionalFormatting>
  <conditionalFormatting sqref="N41:N45">
    <cfRule type="expression" dxfId="2984" priority="2454">
      <formula>N41&gt;F41</formula>
    </cfRule>
  </conditionalFormatting>
  <conditionalFormatting sqref="G41:G45">
    <cfRule type="expression" dxfId="2983" priority="2441">
      <formula>G41&gt;F41</formula>
    </cfRule>
  </conditionalFormatting>
  <conditionalFormatting sqref="J41:K45">
    <cfRule type="expression" dxfId="2982" priority="2445">
      <formula>$AD41=4</formula>
    </cfRule>
    <cfRule type="expression" dxfId="2981" priority="2446">
      <formula>$AD41=3</formula>
    </cfRule>
    <cfRule type="expression" dxfId="2980" priority="2447">
      <formula>$AD41=2</formula>
    </cfRule>
    <cfRule type="expression" dxfId="2979" priority="2448">
      <formula>$AD41=1</formula>
    </cfRule>
  </conditionalFormatting>
  <conditionalFormatting sqref="J41:K45">
    <cfRule type="expression" dxfId="2978" priority="2444">
      <formula>$AC41=2</formula>
    </cfRule>
  </conditionalFormatting>
  <conditionalFormatting sqref="L41:L45">
    <cfRule type="expression" dxfId="2977" priority="2443">
      <formula>$AC41=2</formula>
    </cfRule>
  </conditionalFormatting>
  <conditionalFormatting sqref="G41:G45">
    <cfRule type="expression" dxfId="2976" priority="2442">
      <formula>$AC41=2</formula>
    </cfRule>
  </conditionalFormatting>
  <conditionalFormatting sqref="O41:O45">
    <cfRule type="expression" dxfId="2975" priority="2440">
      <formula>$AC41=2</formula>
    </cfRule>
  </conditionalFormatting>
  <conditionalFormatting sqref="V41:V45">
    <cfRule type="expression" dxfId="2974" priority="2439">
      <formula>$AC41=2</formula>
    </cfRule>
  </conditionalFormatting>
  <conditionalFormatting sqref="U41:U45">
    <cfRule type="expression" dxfId="2973" priority="2438">
      <formula>$AC41=2</formula>
    </cfRule>
  </conditionalFormatting>
  <conditionalFormatting sqref="U41:U45">
    <cfRule type="expression" dxfId="2972" priority="2437">
      <formula>U41&gt;F41</formula>
    </cfRule>
  </conditionalFormatting>
  <conditionalFormatting sqref="Q47:R50">
    <cfRule type="expression" dxfId="2971" priority="2431">
      <formula>$AE47=4</formula>
    </cfRule>
    <cfRule type="expression" dxfId="2970" priority="2432">
      <formula>$AE47=3</formula>
    </cfRule>
    <cfRule type="expression" dxfId="2969" priority="2433">
      <formula>$AE47=2</formula>
    </cfRule>
    <cfRule type="expression" dxfId="2968" priority="2434">
      <formula>$AE47=1</formula>
    </cfRule>
  </conditionalFormatting>
  <conditionalFormatting sqref="X47:Y50">
    <cfRule type="expression" dxfId="2967" priority="2427">
      <formula>$AF47=4</formula>
    </cfRule>
    <cfRule type="expression" dxfId="2966" priority="2428">
      <formula>$AF47=3</formula>
    </cfRule>
    <cfRule type="expression" dxfId="2965" priority="2429">
      <formula>$AF47=2</formula>
    </cfRule>
    <cfRule type="expression" dxfId="2964" priority="2430">
      <formula>$AF47=1</formula>
    </cfRule>
  </conditionalFormatting>
  <conditionalFormatting sqref="N47:N50">
    <cfRule type="expression" dxfId="2963" priority="2426">
      <formula>$AC47=2</formula>
    </cfRule>
  </conditionalFormatting>
  <conditionalFormatting sqref="N47:N50">
    <cfRule type="expression" dxfId="2962" priority="2425">
      <formula>N47&gt;F47</formula>
    </cfRule>
  </conditionalFormatting>
  <conditionalFormatting sqref="G48:G50">
    <cfRule type="expression" dxfId="2961" priority="2412">
      <formula>G48&gt;F48</formula>
    </cfRule>
  </conditionalFormatting>
  <conditionalFormatting sqref="J47:K50">
    <cfRule type="expression" dxfId="2960" priority="2416">
      <formula>$AD47=4</formula>
    </cfRule>
    <cfRule type="expression" dxfId="2959" priority="2417">
      <formula>$AD47=3</formula>
    </cfRule>
    <cfRule type="expression" dxfId="2958" priority="2418">
      <formula>$AD47=2</formula>
    </cfRule>
    <cfRule type="expression" dxfId="2957" priority="2419">
      <formula>$AD47=1</formula>
    </cfRule>
  </conditionalFormatting>
  <conditionalFormatting sqref="J47:K50">
    <cfRule type="expression" dxfId="2956" priority="2415">
      <formula>$AC47=2</formula>
    </cfRule>
  </conditionalFormatting>
  <conditionalFormatting sqref="L47:L50">
    <cfRule type="expression" dxfId="2955" priority="2414">
      <formula>$AC47=2</formula>
    </cfRule>
  </conditionalFormatting>
  <conditionalFormatting sqref="G48:G50">
    <cfRule type="expression" dxfId="2954" priority="2413">
      <formula>$AC48=2</formula>
    </cfRule>
  </conditionalFormatting>
  <conditionalFormatting sqref="O47:O50">
    <cfRule type="expression" dxfId="2953" priority="2411">
      <formula>$AC47=2</formula>
    </cfRule>
  </conditionalFormatting>
  <conditionalFormatting sqref="V47:V50">
    <cfRule type="expression" dxfId="2952" priority="2410">
      <formula>$AC47=2</formula>
    </cfRule>
  </conditionalFormatting>
  <conditionalFormatting sqref="U47:U50">
    <cfRule type="expression" dxfId="2951" priority="2409">
      <formula>$AC47=2</formula>
    </cfRule>
  </conditionalFormatting>
  <conditionalFormatting sqref="U47:U50">
    <cfRule type="expression" dxfId="2950" priority="2408">
      <formula>U47&gt;F47</formula>
    </cfRule>
  </conditionalFormatting>
  <conditionalFormatting sqref="Q52:R54">
    <cfRule type="expression" dxfId="2949" priority="2402">
      <formula>$AE52=4</formula>
    </cfRule>
    <cfRule type="expression" dxfId="2948" priority="2403">
      <formula>$AE52=3</formula>
    </cfRule>
    <cfRule type="expression" dxfId="2947" priority="2404">
      <formula>$AE52=2</formula>
    </cfRule>
    <cfRule type="expression" dxfId="2946" priority="2405">
      <formula>$AE52=1</formula>
    </cfRule>
  </conditionalFormatting>
  <conditionalFormatting sqref="X52:Y54">
    <cfRule type="expression" dxfId="2945" priority="2398">
      <formula>$AF52=4</formula>
    </cfRule>
    <cfRule type="expression" dxfId="2944" priority="2399">
      <formula>$AF52=3</formula>
    </cfRule>
    <cfRule type="expression" dxfId="2943" priority="2400">
      <formula>$AF52=2</formula>
    </cfRule>
    <cfRule type="expression" dxfId="2942" priority="2401">
      <formula>$AF52=1</formula>
    </cfRule>
  </conditionalFormatting>
  <conditionalFormatting sqref="N52:N54">
    <cfRule type="expression" dxfId="2941" priority="2397">
      <formula>$AC52=2</formula>
    </cfRule>
  </conditionalFormatting>
  <conditionalFormatting sqref="N52:N54">
    <cfRule type="expression" dxfId="2940" priority="2396">
      <formula>N52&gt;F52</formula>
    </cfRule>
  </conditionalFormatting>
  <conditionalFormatting sqref="G52:G54">
    <cfRule type="expression" dxfId="2939" priority="2383">
      <formula>G52&gt;F52</formula>
    </cfRule>
  </conditionalFormatting>
  <conditionalFormatting sqref="J52:K54">
    <cfRule type="expression" dxfId="2938" priority="2387">
      <formula>$AD52=4</formula>
    </cfRule>
    <cfRule type="expression" dxfId="2937" priority="2388">
      <formula>$AD52=3</formula>
    </cfRule>
    <cfRule type="expression" dxfId="2936" priority="2389">
      <formula>$AD52=2</formula>
    </cfRule>
    <cfRule type="expression" dxfId="2935" priority="2390">
      <formula>$AD52=1</formula>
    </cfRule>
  </conditionalFormatting>
  <conditionalFormatting sqref="J52:K54">
    <cfRule type="expression" dxfId="2934" priority="2386">
      <formula>$AC52=2</formula>
    </cfRule>
  </conditionalFormatting>
  <conditionalFormatting sqref="L52:L54">
    <cfRule type="expression" dxfId="2933" priority="2385">
      <formula>$AC52=2</formula>
    </cfRule>
  </conditionalFormatting>
  <conditionalFormatting sqref="G52:G54">
    <cfRule type="expression" dxfId="2932" priority="2384">
      <formula>$AC52=2</formula>
    </cfRule>
  </conditionalFormatting>
  <conditionalFormatting sqref="O52:O54">
    <cfRule type="expression" dxfId="2931" priority="2382">
      <formula>$AC52=2</formula>
    </cfRule>
  </conditionalFormatting>
  <conditionalFormatting sqref="V52:V54">
    <cfRule type="expression" dxfId="2930" priority="2381">
      <formula>$AC52=2</formula>
    </cfRule>
  </conditionalFormatting>
  <conditionalFormatting sqref="U52:U54">
    <cfRule type="expression" dxfId="2929" priority="2379">
      <formula>U52&gt;F52</formula>
    </cfRule>
  </conditionalFormatting>
  <conditionalFormatting sqref="Q56:R57">
    <cfRule type="expression" dxfId="2928" priority="2373">
      <formula>$AE56=4</formula>
    </cfRule>
    <cfRule type="expression" dxfId="2927" priority="2374">
      <formula>$AE56=3</formula>
    </cfRule>
    <cfRule type="expression" dxfId="2926" priority="2375">
      <formula>$AE56=2</formula>
    </cfRule>
    <cfRule type="expression" dxfId="2925" priority="2376">
      <formula>$AE56=1</formula>
    </cfRule>
  </conditionalFormatting>
  <conditionalFormatting sqref="X56:Y57">
    <cfRule type="expression" dxfId="2924" priority="2369">
      <formula>$AF56=4</formula>
    </cfRule>
    <cfRule type="expression" dxfId="2923" priority="2370">
      <formula>$AF56=3</formula>
    </cfRule>
    <cfRule type="expression" dxfId="2922" priority="2371">
      <formula>$AF56=2</formula>
    </cfRule>
    <cfRule type="expression" dxfId="2921" priority="2372">
      <formula>$AF56=1</formula>
    </cfRule>
  </conditionalFormatting>
  <conditionalFormatting sqref="N57">
    <cfRule type="expression" dxfId="2920" priority="2368">
      <formula>$AC57=2</formula>
    </cfRule>
  </conditionalFormatting>
  <conditionalFormatting sqref="N57">
    <cfRule type="expression" dxfId="2919" priority="2367">
      <formula>N57&gt;F57</formula>
    </cfRule>
  </conditionalFormatting>
  <conditionalFormatting sqref="G57">
    <cfRule type="expression" dxfId="2918" priority="2354">
      <formula>G57&gt;F57</formula>
    </cfRule>
  </conditionalFormatting>
  <conditionalFormatting sqref="J56:K57">
    <cfRule type="expression" dxfId="2917" priority="2358">
      <formula>$AD56=4</formula>
    </cfRule>
    <cfRule type="expression" dxfId="2916" priority="2359">
      <formula>$AD56=3</formula>
    </cfRule>
    <cfRule type="expression" dxfId="2915" priority="2360">
      <formula>$AD56=2</formula>
    </cfRule>
    <cfRule type="expression" dxfId="2914" priority="2361">
      <formula>$AD56=1</formula>
    </cfRule>
  </conditionalFormatting>
  <conditionalFormatting sqref="J56:K57">
    <cfRule type="expression" dxfId="2913" priority="2357">
      <formula>$AC56=2</formula>
    </cfRule>
  </conditionalFormatting>
  <conditionalFormatting sqref="L56:L57">
    <cfRule type="expression" dxfId="2912" priority="2356">
      <formula>$AC56=2</formula>
    </cfRule>
  </conditionalFormatting>
  <conditionalFormatting sqref="G57">
    <cfRule type="expression" dxfId="2911" priority="2355">
      <formula>$AC57=2</formula>
    </cfRule>
  </conditionalFormatting>
  <conditionalFormatting sqref="O56:O57">
    <cfRule type="expression" dxfId="2910" priority="2353">
      <formula>$AC56=2</formula>
    </cfRule>
  </conditionalFormatting>
  <conditionalFormatting sqref="V56:V57">
    <cfRule type="expression" dxfId="2909" priority="2352">
      <formula>$AC56=2</formula>
    </cfRule>
  </conditionalFormatting>
  <conditionalFormatting sqref="U57">
    <cfRule type="expression" dxfId="2908" priority="2351">
      <formula>$AC57=2</formula>
    </cfRule>
  </conditionalFormatting>
  <conditionalFormatting sqref="U57">
    <cfRule type="expression" dxfId="2907" priority="2350">
      <formula>U57&gt;F57</formula>
    </cfRule>
  </conditionalFormatting>
  <conditionalFormatting sqref="Q59:R60">
    <cfRule type="expression" dxfId="2906" priority="2344">
      <formula>$AE59=4</formula>
    </cfRule>
    <cfRule type="expression" dxfId="2905" priority="2345">
      <formula>$AE59=3</formula>
    </cfRule>
    <cfRule type="expression" dxfId="2904" priority="2346">
      <formula>$AE59=2</formula>
    </cfRule>
    <cfRule type="expression" dxfId="2903" priority="2347">
      <formula>$AE59=1</formula>
    </cfRule>
  </conditionalFormatting>
  <conditionalFormatting sqref="X59:Y60">
    <cfRule type="expression" dxfId="2902" priority="2340">
      <formula>$AF59=4</formula>
    </cfRule>
    <cfRule type="expression" dxfId="2901" priority="2341">
      <formula>$AF59=3</formula>
    </cfRule>
    <cfRule type="expression" dxfId="2900" priority="2342">
      <formula>$AF59=2</formula>
    </cfRule>
    <cfRule type="expression" dxfId="2899" priority="2343">
      <formula>$AF59=1</formula>
    </cfRule>
  </conditionalFormatting>
  <conditionalFormatting sqref="N59:N60">
    <cfRule type="expression" dxfId="2898" priority="2339">
      <formula>$AC59=2</formula>
    </cfRule>
  </conditionalFormatting>
  <conditionalFormatting sqref="N59:N60">
    <cfRule type="expression" dxfId="2897" priority="2338">
      <formula>N59&gt;F59</formula>
    </cfRule>
  </conditionalFormatting>
  <conditionalFormatting sqref="G59:G60">
    <cfRule type="expression" dxfId="2896" priority="2325">
      <formula>G59&gt;F59</formula>
    </cfRule>
  </conditionalFormatting>
  <conditionalFormatting sqref="J59:K60">
    <cfRule type="expression" dxfId="2895" priority="2329">
      <formula>$AD59=4</formula>
    </cfRule>
    <cfRule type="expression" dxfId="2894" priority="2330">
      <formula>$AD59=3</formula>
    </cfRule>
    <cfRule type="expression" dxfId="2893" priority="2331">
      <formula>$AD59=2</formula>
    </cfRule>
    <cfRule type="expression" dxfId="2892" priority="2332">
      <formula>$AD59=1</formula>
    </cfRule>
  </conditionalFormatting>
  <conditionalFormatting sqref="J59:K60">
    <cfRule type="expression" dxfId="2891" priority="2328">
      <formula>$AC59=2</formula>
    </cfRule>
  </conditionalFormatting>
  <conditionalFormatting sqref="G59:G60">
    <cfRule type="expression" dxfId="2890" priority="2326">
      <formula>$AC59=2</formula>
    </cfRule>
  </conditionalFormatting>
  <conditionalFormatting sqref="V59:V60">
    <cfRule type="expression" dxfId="2889" priority="2323">
      <formula>$AC59=2</formula>
    </cfRule>
  </conditionalFormatting>
  <conditionalFormatting sqref="U59:U60">
    <cfRule type="expression" dxfId="2888" priority="2322">
      <formula>$AC59=2</formula>
    </cfRule>
  </conditionalFormatting>
  <conditionalFormatting sqref="U59:U60">
    <cfRule type="expression" dxfId="2887" priority="2321">
      <formula>U59&gt;F59</formula>
    </cfRule>
  </conditionalFormatting>
  <conditionalFormatting sqref="Q62:R62">
    <cfRule type="expression" dxfId="2886" priority="2315">
      <formula>$AE62=4</formula>
    </cfRule>
    <cfRule type="expression" dxfId="2885" priority="2316">
      <formula>$AE62=3</formula>
    </cfRule>
    <cfRule type="expression" dxfId="2884" priority="2317">
      <formula>$AE62=2</formula>
    </cfRule>
    <cfRule type="expression" dxfId="2883" priority="2318">
      <formula>$AE62=1</formula>
    </cfRule>
  </conditionalFormatting>
  <conditionalFormatting sqref="X62:Y62">
    <cfRule type="expression" dxfId="2882" priority="2311">
      <formula>$AF62=4</formula>
    </cfRule>
    <cfRule type="expression" dxfId="2881" priority="2312">
      <formula>$AF62=3</formula>
    </cfRule>
    <cfRule type="expression" dxfId="2880" priority="2313">
      <formula>$AF62=2</formula>
    </cfRule>
    <cfRule type="expression" dxfId="2879" priority="2314">
      <formula>$AF62=1</formula>
    </cfRule>
  </conditionalFormatting>
  <conditionalFormatting sqref="N62">
    <cfRule type="expression" dxfId="2878" priority="2310">
      <formula>$AC62=2</formula>
    </cfRule>
  </conditionalFormatting>
  <conditionalFormatting sqref="N62">
    <cfRule type="expression" dxfId="2877" priority="2309">
      <formula>N62&gt;F62</formula>
    </cfRule>
  </conditionalFormatting>
  <conditionalFormatting sqref="G62">
    <cfRule type="expression" dxfId="2876" priority="2296">
      <formula>G62&gt;F62</formula>
    </cfRule>
  </conditionalFormatting>
  <conditionalFormatting sqref="J62:K62">
    <cfRule type="expression" dxfId="2875" priority="2300">
      <formula>$AD62=4</formula>
    </cfRule>
    <cfRule type="expression" dxfId="2874" priority="2301">
      <formula>$AD62=3</formula>
    </cfRule>
    <cfRule type="expression" dxfId="2873" priority="2302">
      <formula>$AD62=2</formula>
    </cfRule>
    <cfRule type="expression" dxfId="2872" priority="2303">
      <formula>$AD62=1</formula>
    </cfRule>
  </conditionalFormatting>
  <conditionalFormatting sqref="J62:K62">
    <cfRule type="expression" dxfId="2871" priority="2299">
      <formula>$AC62=2</formula>
    </cfRule>
  </conditionalFormatting>
  <conditionalFormatting sqref="L62">
    <cfRule type="expression" dxfId="2870" priority="2298">
      <formula>$AC62=2</formula>
    </cfRule>
  </conditionalFormatting>
  <conditionalFormatting sqref="G62">
    <cfRule type="expression" dxfId="2869" priority="2297">
      <formula>$AC62=2</formula>
    </cfRule>
  </conditionalFormatting>
  <conditionalFormatting sqref="O62">
    <cfRule type="expression" dxfId="2868" priority="2295">
      <formula>$AC62=2</formula>
    </cfRule>
  </conditionalFormatting>
  <conditionalFormatting sqref="V62">
    <cfRule type="expression" dxfId="2867" priority="4535">
      <formula>$AC62=2</formula>
    </cfRule>
  </conditionalFormatting>
  <conditionalFormatting sqref="U62">
    <cfRule type="expression" dxfId="2866" priority="2293">
      <formula>$AC62=2</formula>
    </cfRule>
  </conditionalFormatting>
  <conditionalFormatting sqref="U62">
    <cfRule type="expression" dxfId="2865" priority="2292">
      <formula>U62&gt;F62</formula>
    </cfRule>
  </conditionalFormatting>
  <conditionalFormatting sqref="Q67:R72">
    <cfRule type="expression" dxfId="2864" priority="2286">
      <formula>$AE67=4</formula>
    </cfRule>
    <cfRule type="expression" dxfId="2863" priority="2287">
      <formula>$AE67=3</formula>
    </cfRule>
    <cfRule type="expression" dxfId="2862" priority="2288">
      <formula>$AE67=2</formula>
    </cfRule>
    <cfRule type="expression" dxfId="2861" priority="2289">
      <formula>$AE67=1</formula>
    </cfRule>
  </conditionalFormatting>
  <conditionalFormatting sqref="X67:Y72">
    <cfRule type="expression" dxfId="2860" priority="2282">
      <formula>$AF67=4</formula>
    </cfRule>
    <cfRule type="expression" dxfId="2859" priority="2283">
      <formula>$AF67=3</formula>
    </cfRule>
    <cfRule type="expression" dxfId="2858" priority="2284">
      <formula>$AF67=2</formula>
    </cfRule>
    <cfRule type="expression" dxfId="2857" priority="2285">
      <formula>$AF67=1</formula>
    </cfRule>
  </conditionalFormatting>
  <conditionalFormatting sqref="N67:N72">
    <cfRule type="expression" dxfId="2856" priority="2281">
      <formula>$AC67=2</formula>
    </cfRule>
  </conditionalFormatting>
  <conditionalFormatting sqref="N67:N72">
    <cfRule type="expression" dxfId="2855" priority="2280">
      <formula>N67&gt;F67</formula>
    </cfRule>
  </conditionalFormatting>
  <conditionalFormatting sqref="G67:G69 G71:G72">
    <cfRule type="expression" dxfId="2854" priority="2267">
      <formula>G67&gt;F67</formula>
    </cfRule>
  </conditionalFormatting>
  <conditionalFormatting sqref="J67:K72">
    <cfRule type="expression" dxfId="2853" priority="2271">
      <formula>$AD67=4</formula>
    </cfRule>
    <cfRule type="expression" dxfId="2852" priority="2272">
      <formula>$AD67=3</formula>
    </cfRule>
    <cfRule type="expression" dxfId="2851" priority="2273">
      <formula>$AD67=2</formula>
    </cfRule>
    <cfRule type="expression" dxfId="2850" priority="2274">
      <formula>$AD67=1</formula>
    </cfRule>
  </conditionalFormatting>
  <conditionalFormatting sqref="J67:K72">
    <cfRule type="expression" dxfId="2849" priority="2270">
      <formula>$AC67=2</formula>
    </cfRule>
  </conditionalFormatting>
  <conditionalFormatting sqref="L68:L72">
    <cfRule type="expression" dxfId="2848" priority="2269">
      <formula>$AC68=2</formula>
    </cfRule>
  </conditionalFormatting>
  <conditionalFormatting sqref="G67:G69 G71:G72">
    <cfRule type="expression" dxfId="2847" priority="2268">
      <formula>$AC67=2</formula>
    </cfRule>
  </conditionalFormatting>
  <conditionalFormatting sqref="O67:O72">
    <cfRule type="expression" dxfId="2846" priority="2266">
      <formula>$AC67=2</formula>
    </cfRule>
  </conditionalFormatting>
  <conditionalFormatting sqref="V67:V72">
    <cfRule type="expression" dxfId="2845" priority="2265">
      <formula>$AC67=2</formula>
    </cfRule>
  </conditionalFormatting>
  <conditionalFormatting sqref="U67:U69 U71:U72">
    <cfRule type="expression" dxfId="2844" priority="2264">
      <formula>$AC67=2</formula>
    </cfRule>
  </conditionalFormatting>
  <conditionalFormatting sqref="U67:U69 U71:U72">
    <cfRule type="expression" dxfId="2843" priority="2263">
      <formula>U67&gt;F67</formula>
    </cfRule>
  </conditionalFormatting>
  <conditionalFormatting sqref="Q74:R76">
    <cfRule type="expression" dxfId="2842" priority="2257">
      <formula>$AE74=4</formula>
    </cfRule>
    <cfRule type="expression" dxfId="2841" priority="2258">
      <formula>$AE74=3</formula>
    </cfRule>
    <cfRule type="expression" dxfId="2840" priority="2259">
      <formula>$AE74=2</formula>
    </cfRule>
    <cfRule type="expression" dxfId="2839" priority="2260">
      <formula>$AE74=1</formula>
    </cfRule>
  </conditionalFormatting>
  <conditionalFormatting sqref="X74:Y76">
    <cfRule type="expression" dxfId="2838" priority="2253">
      <formula>$AF74=4</formula>
    </cfRule>
    <cfRule type="expression" dxfId="2837" priority="2254">
      <formula>$AF74=3</formula>
    </cfRule>
    <cfRule type="expression" dxfId="2836" priority="2255">
      <formula>$AF74=2</formula>
    </cfRule>
    <cfRule type="expression" dxfId="2835" priority="2256">
      <formula>$AF74=1</formula>
    </cfRule>
  </conditionalFormatting>
  <conditionalFormatting sqref="N74:N76">
    <cfRule type="expression" dxfId="2834" priority="2252">
      <formula>$AC74=2</formula>
    </cfRule>
  </conditionalFormatting>
  <conditionalFormatting sqref="N74:N76">
    <cfRule type="expression" dxfId="2833" priority="2251">
      <formula>N74&gt;F74</formula>
    </cfRule>
  </conditionalFormatting>
  <conditionalFormatting sqref="G74:G76">
    <cfRule type="expression" dxfId="2832" priority="2238">
      <formula>G74&gt;F74</formula>
    </cfRule>
  </conditionalFormatting>
  <conditionalFormatting sqref="J74:K76">
    <cfRule type="expression" dxfId="2831" priority="2242">
      <formula>$AD74=4</formula>
    </cfRule>
    <cfRule type="expression" dxfId="2830" priority="2243">
      <formula>$AD74=3</formula>
    </cfRule>
    <cfRule type="expression" dxfId="2829" priority="2244">
      <formula>$AD74=2</formula>
    </cfRule>
    <cfRule type="expression" dxfId="2828" priority="2245">
      <formula>$AD74=1</formula>
    </cfRule>
  </conditionalFormatting>
  <conditionalFormatting sqref="J74:K76">
    <cfRule type="expression" dxfId="2827" priority="2241">
      <formula>$AC74=2</formula>
    </cfRule>
  </conditionalFormatting>
  <conditionalFormatting sqref="L74:L76">
    <cfRule type="expression" dxfId="2826" priority="2240">
      <formula>$AC74=2</formula>
    </cfRule>
  </conditionalFormatting>
  <conditionalFormatting sqref="G74:G76">
    <cfRule type="expression" dxfId="2825" priority="2239">
      <formula>$AC74=2</formula>
    </cfRule>
  </conditionalFormatting>
  <conditionalFormatting sqref="O74:O76">
    <cfRule type="expression" dxfId="2824" priority="2237">
      <formula>$AC74=2</formula>
    </cfRule>
  </conditionalFormatting>
  <conditionalFormatting sqref="V74:V76">
    <cfRule type="expression" dxfId="2823" priority="2236">
      <formula>$AC74=2</formula>
    </cfRule>
  </conditionalFormatting>
  <conditionalFormatting sqref="U74:U76">
    <cfRule type="expression" dxfId="2822" priority="2235">
      <formula>$AC74=2</formula>
    </cfRule>
  </conditionalFormatting>
  <conditionalFormatting sqref="U74:U76">
    <cfRule type="expression" dxfId="2821" priority="2234">
      <formula>U74&gt;F74</formula>
    </cfRule>
  </conditionalFormatting>
  <conditionalFormatting sqref="Q78:R79">
    <cfRule type="expression" dxfId="2820" priority="2228">
      <formula>$AE78=4</formula>
    </cfRule>
    <cfRule type="expression" dxfId="2819" priority="2229">
      <formula>$AE78=3</formula>
    </cfRule>
    <cfRule type="expression" dxfId="2818" priority="2230">
      <formula>$AE78=2</formula>
    </cfRule>
    <cfRule type="expression" dxfId="2817" priority="2231">
      <formula>$AE78=1</formula>
    </cfRule>
  </conditionalFormatting>
  <conditionalFormatting sqref="X78:Y79">
    <cfRule type="expression" dxfId="2816" priority="2224">
      <formula>$AF78=4</formula>
    </cfRule>
    <cfRule type="expression" dxfId="2815" priority="2225">
      <formula>$AF78=3</formula>
    </cfRule>
    <cfRule type="expression" dxfId="2814" priority="2226">
      <formula>$AF78=2</formula>
    </cfRule>
    <cfRule type="expression" dxfId="2813" priority="2227">
      <formula>$AF78=1</formula>
    </cfRule>
  </conditionalFormatting>
  <conditionalFormatting sqref="N78:N79">
    <cfRule type="expression" dxfId="2812" priority="2223">
      <formula>$AC78=2</formula>
    </cfRule>
  </conditionalFormatting>
  <conditionalFormatting sqref="N78:N79">
    <cfRule type="expression" dxfId="2811" priority="2222">
      <formula>N78&gt;F78</formula>
    </cfRule>
  </conditionalFormatting>
  <conditionalFormatting sqref="G78:G79">
    <cfRule type="expression" dxfId="2810" priority="2209">
      <formula>G78&gt;F78</formula>
    </cfRule>
  </conditionalFormatting>
  <conditionalFormatting sqref="J78:K79">
    <cfRule type="expression" dxfId="2809" priority="2213">
      <formula>$AD78=4</formula>
    </cfRule>
    <cfRule type="expression" dxfId="2808" priority="2214">
      <formula>$AD78=3</formula>
    </cfRule>
    <cfRule type="expression" dxfId="2807" priority="2215">
      <formula>$AD78=2</formula>
    </cfRule>
    <cfRule type="expression" dxfId="2806" priority="2216">
      <formula>$AD78=1</formula>
    </cfRule>
  </conditionalFormatting>
  <conditionalFormatting sqref="J78:K79">
    <cfRule type="expression" dxfId="2805" priority="2212">
      <formula>$AC78=2</formula>
    </cfRule>
  </conditionalFormatting>
  <conditionalFormatting sqref="L78:L79">
    <cfRule type="expression" dxfId="2804" priority="2211">
      <formula>$AC78=2</formula>
    </cfRule>
  </conditionalFormatting>
  <conditionalFormatting sqref="G78:G79">
    <cfRule type="expression" dxfId="2803" priority="2210">
      <formula>$AC78=2</formula>
    </cfRule>
  </conditionalFormatting>
  <conditionalFormatting sqref="O78:O79">
    <cfRule type="expression" dxfId="2802" priority="2208">
      <formula>$AC78=2</formula>
    </cfRule>
  </conditionalFormatting>
  <conditionalFormatting sqref="V78:V79">
    <cfRule type="expression" dxfId="2801" priority="2207">
      <formula>$AC78=2</formula>
    </cfRule>
  </conditionalFormatting>
  <conditionalFormatting sqref="U78:U79">
    <cfRule type="expression" dxfId="2800" priority="2206">
      <formula>$AC78=2</formula>
    </cfRule>
  </conditionalFormatting>
  <conditionalFormatting sqref="U78:U79">
    <cfRule type="expression" dxfId="2799" priority="2205">
      <formula>U78&gt;F78</formula>
    </cfRule>
  </conditionalFormatting>
  <conditionalFormatting sqref="Q81:R82">
    <cfRule type="expression" dxfId="2798" priority="2199">
      <formula>$AE81=4</formula>
    </cfRule>
    <cfRule type="expression" dxfId="2797" priority="2200">
      <formula>$AE81=3</formula>
    </cfRule>
    <cfRule type="expression" dxfId="2796" priority="2201">
      <formula>$AE81=2</formula>
    </cfRule>
    <cfRule type="expression" dxfId="2795" priority="2202">
      <formula>$AE81=1</formula>
    </cfRule>
  </conditionalFormatting>
  <conditionalFormatting sqref="X81:Y82">
    <cfRule type="expression" dxfId="2794" priority="2195">
      <formula>$AF81=4</formula>
    </cfRule>
    <cfRule type="expression" dxfId="2793" priority="2196">
      <formula>$AF81=3</formula>
    </cfRule>
    <cfRule type="expression" dxfId="2792" priority="2197">
      <formula>$AF81=2</formula>
    </cfRule>
    <cfRule type="expression" dxfId="2791" priority="2198">
      <formula>$AF81=1</formula>
    </cfRule>
  </conditionalFormatting>
  <conditionalFormatting sqref="N81:N82">
    <cfRule type="expression" dxfId="2790" priority="2194">
      <formula>$AC81=2</formula>
    </cfRule>
  </conditionalFormatting>
  <conditionalFormatting sqref="N81:N82">
    <cfRule type="expression" dxfId="2789" priority="2193">
      <formula>N81&gt;F81</formula>
    </cfRule>
  </conditionalFormatting>
  <conditionalFormatting sqref="G81:G82">
    <cfRule type="expression" dxfId="2788" priority="2180">
      <formula>G81&gt;F81</formula>
    </cfRule>
  </conditionalFormatting>
  <conditionalFormatting sqref="J81:K82">
    <cfRule type="expression" dxfId="2787" priority="2184">
      <formula>$AD81=4</formula>
    </cfRule>
    <cfRule type="expression" dxfId="2786" priority="2185">
      <formula>$AD81=3</formula>
    </cfRule>
    <cfRule type="expression" dxfId="2785" priority="2186">
      <formula>$AD81=2</formula>
    </cfRule>
    <cfRule type="expression" dxfId="2784" priority="2187">
      <formula>$AD81=1</formula>
    </cfRule>
  </conditionalFormatting>
  <conditionalFormatting sqref="J81:K82">
    <cfRule type="expression" dxfId="2783" priority="2183">
      <formula>$AC81=2</formula>
    </cfRule>
  </conditionalFormatting>
  <conditionalFormatting sqref="L81:L82">
    <cfRule type="expression" dxfId="2782" priority="2182">
      <formula>$AC81=2</formula>
    </cfRule>
  </conditionalFormatting>
  <conditionalFormatting sqref="G81:G82">
    <cfRule type="expression" dxfId="2781" priority="2181">
      <formula>$AC81=2</formula>
    </cfRule>
  </conditionalFormatting>
  <conditionalFormatting sqref="O81:O82">
    <cfRule type="expression" dxfId="2780" priority="2179">
      <formula>$AC81=2</formula>
    </cfRule>
  </conditionalFormatting>
  <conditionalFormatting sqref="V81:V82">
    <cfRule type="expression" dxfId="2779" priority="2178">
      <formula>$AC81=2</formula>
    </cfRule>
  </conditionalFormatting>
  <conditionalFormatting sqref="U81:U82">
    <cfRule type="expression" dxfId="2778" priority="2177">
      <formula>$AC81=2</formula>
    </cfRule>
  </conditionalFormatting>
  <conditionalFormatting sqref="U81:U82">
    <cfRule type="expression" dxfId="2777" priority="2176">
      <formula>U81&gt;F81</formula>
    </cfRule>
  </conditionalFormatting>
  <conditionalFormatting sqref="Q84:R84">
    <cfRule type="expression" dxfId="2776" priority="2170">
      <formula>$AE84=4</formula>
    </cfRule>
    <cfRule type="expression" dxfId="2775" priority="2171">
      <formula>$AE84=3</formula>
    </cfRule>
    <cfRule type="expression" dxfId="2774" priority="2172">
      <formula>$AE84=2</formula>
    </cfRule>
    <cfRule type="expression" dxfId="2773" priority="2173">
      <formula>$AE84=1</formula>
    </cfRule>
  </conditionalFormatting>
  <conditionalFormatting sqref="X84:Y84">
    <cfRule type="expression" dxfId="2772" priority="2166">
      <formula>$AF84=4</formula>
    </cfRule>
    <cfRule type="expression" dxfId="2771" priority="2167">
      <formula>$AF84=3</formula>
    </cfRule>
    <cfRule type="expression" dxfId="2770" priority="2168">
      <formula>$AF84=2</formula>
    </cfRule>
    <cfRule type="expression" dxfId="2769" priority="2169">
      <formula>$AF84=1</formula>
    </cfRule>
  </conditionalFormatting>
  <conditionalFormatting sqref="N84">
    <cfRule type="expression" dxfId="2768" priority="2165">
      <formula>$AC84=2</formula>
    </cfRule>
  </conditionalFormatting>
  <conditionalFormatting sqref="N84 N86">
    <cfRule type="expression" dxfId="2767" priority="2164">
      <formula>N84&gt;F84</formula>
    </cfRule>
  </conditionalFormatting>
  <conditionalFormatting sqref="G84 G86">
    <cfRule type="expression" dxfId="2766" priority="2151">
      <formula>G84&gt;F84</formula>
    </cfRule>
  </conditionalFormatting>
  <conditionalFormatting sqref="J84:K84">
    <cfRule type="expression" dxfId="2765" priority="2155">
      <formula>$AD84=4</formula>
    </cfRule>
    <cfRule type="expression" dxfId="2764" priority="2156">
      <formula>$AD84=3</formula>
    </cfRule>
    <cfRule type="expression" dxfId="2763" priority="2157">
      <formula>$AD84=2</formula>
    </cfRule>
    <cfRule type="expression" dxfId="2762" priority="2158">
      <formula>$AD84=1</formula>
    </cfRule>
  </conditionalFormatting>
  <conditionalFormatting sqref="J84:K84">
    <cfRule type="expression" dxfId="2761" priority="2154">
      <formula>$AC84=2</formula>
    </cfRule>
  </conditionalFormatting>
  <conditionalFormatting sqref="L84">
    <cfRule type="expression" dxfId="2760" priority="2153">
      <formula>$AC84=2</formula>
    </cfRule>
  </conditionalFormatting>
  <conditionalFormatting sqref="G84">
    <cfRule type="expression" dxfId="2759" priority="2152">
      <formula>$AC84=2</formula>
    </cfRule>
  </conditionalFormatting>
  <conditionalFormatting sqref="O84">
    <cfRule type="expression" dxfId="2758" priority="2150">
      <formula>$AC84=2</formula>
    </cfRule>
  </conditionalFormatting>
  <conditionalFormatting sqref="V84">
    <cfRule type="expression" dxfId="2757" priority="2149">
      <formula>$AC84=2</formula>
    </cfRule>
  </conditionalFormatting>
  <conditionalFormatting sqref="U84">
    <cfRule type="expression" dxfId="2756" priority="2148">
      <formula>$AC84=2</formula>
    </cfRule>
  </conditionalFormatting>
  <conditionalFormatting sqref="U84">
    <cfRule type="expression" dxfId="2755" priority="2147">
      <formula>U84&gt;F84</formula>
    </cfRule>
  </conditionalFormatting>
  <conditionalFormatting sqref="Q88:R89">
    <cfRule type="expression" dxfId="2754" priority="2141">
      <formula>$AE88=4</formula>
    </cfRule>
    <cfRule type="expression" dxfId="2753" priority="2142">
      <formula>$AE88=3</formula>
    </cfRule>
    <cfRule type="expression" dxfId="2752" priority="2143">
      <formula>$AE88=2</formula>
    </cfRule>
    <cfRule type="expression" dxfId="2751" priority="2144">
      <formula>$AE88=1</formula>
    </cfRule>
  </conditionalFormatting>
  <conditionalFormatting sqref="X88:Y89">
    <cfRule type="expression" dxfId="2750" priority="2137">
      <formula>$AF88=4</formula>
    </cfRule>
    <cfRule type="expression" dxfId="2749" priority="2138">
      <formula>$AF88=3</formula>
    </cfRule>
    <cfRule type="expression" dxfId="2748" priority="2139">
      <formula>$AF88=2</formula>
    </cfRule>
    <cfRule type="expression" dxfId="2747" priority="2140">
      <formula>$AF88=1</formula>
    </cfRule>
  </conditionalFormatting>
  <conditionalFormatting sqref="N88:N89">
    <cfRule type="expression" dxfId="2746" priority="2136">
      <formula>$AC88=2</formula>
    </cfRule>
  </conditionalFormatting>
  <conditionalFormatting sqref="N88:N89">
    <cfRule type="expression" dxfId="2745" priority="2135">
      <formula>N88&gt;F88</formula>
    </cfRule>
  </conditionalFormatting>
  <conditionalFormatting sqref="G88:G89">
    <cfRule type="expression" dxfId="2744" priority="2122">
      <formula>G88&gt;F88</formula>
    </cfRule>
  </conditionalFormatting>
  <conditionalFormatting sqref="J88:K89">
    <cfRule type="expression" dxfId="2743" priority="2126">
      <formula>$AD88=4</formula>
    </cfRule>
    <cfRule type="expression" dxfId="2742" priority="2127">
      <formula>$AD88=3</formula>
    </cfRule>
    <cfRule type="expression" dxfId="2741" priority="2128">
      <formula>$AD88=2</formula>
    </cfRule>
    <cfRule type="expression" dxfId="2740" priority="2129">
      <formula>$AD88=1</formula>
    </cfRule>
  </conditionalFormatting>
  <conditionalFormatting sqref="J88:K89">
    <cfRule type="expression" dxfId="2739" priority="2125">
      <formula>$AC88=2</formula>
    </cfRule>
  </conditionalFormatting>
  <conditionalFormatting sqref="L88:L89">
    <cfRule type="expression" dxfId="2738" priority="2124">
      <formula>$AC88=2</formula>
    </cfRule>
  </conditionalFormatting>
  <conditionalFormatting sqref="G88:G89">
    <cfRule type="expression" dxfId="2737" priority="2123">
      <formula>$AC88=2</formula>
    </cfRule>
  </conditionalFormatting>
  <conditionalFormatting sqref="O88:O89">
    <cfRule type="expression" dxfId="2736" priority="2121">
      <formula>$AC88=2</formula>
    </cfRule>
  </conditionalFormatting>
  <conditionalFormatting sqref="V88:V89">
    <cfRule type="expression" dxfId="2735" priority="2120">
      <formula>$AC88=2</formula>
    </cfRule>
  </conditionalFormatting>
  <conditionalFormatting sqref="U88:U89">
    <cfRule type="expression" dxfId="2734" priority="2119">
      <formula>$AC88=2</formula>
    </cfRule>
  </conditionalFormatting>
  <conditionalFormatting sqref="U88:U89">
    <cfRule type="expression" dxfId="2733" priority="2118">
      <formula>U88&gt;F88</formula>
    </cfRule>
  </conditionalFormatting>
  <conditionalFormatting sqref="Q91:R91">
    <cfRule type="expression" dxfId="2732" priority="2112">
      <formula>$AE91=4</formula>
    </cfRule>
    <cfRule type="expression" dxfId="2731" priority="2113">
      <formula>$AE91=3</formula>
    </cfRule>
    <cfRule type="expression" dxfId="2730" priority="2114">
      <formula>$AE91=2</formula>
    </cfRule>
    <cfRule type="expression" dxfId="2729" priority="2115">
      <formula>$AE91=1</formula>
    </cfRule>
  </conditionalFormatting>
  <conditionalFormatting sqref="X91:Y91">
    <cfRule type="expression" dxfId="2728" priority="2108">
      <formula>$AF91=4</formula>
    </cfRule>
    <cfRule type="expression" dxfId="2727" priority="2109">
      <formula>$AF91=3</formula>
    </cfRule>
    <cfRule type="expression" dxfId="2726" priority="2110">
      <formula>$AF91=2</formula>
    </cfRule>
    <cfRule type="expression" dxfId="2725" priority="2111">
      <formula>$AF91=1</formula>
    </cfRule>
  </conditionalFormatting>
  <conditionalFormatting sqref="N91">
    <cfRule type="expression" dxfId="2724" priority="2107">
      <formula>$AC91=2</formula>
    </cfRule>
  </conditionalFormatting>
  <conditionalFormatting sqref="N91">
    <cfRule type="expression" dxfId="2723" priority="2106">
      <formula>N91&gt;F91</formula>
    </cfRule>
  </conditionalFormatting>
  <conditionalFormatting sqref="G91">
    <cfRule type="expression" dxfId="2722" priority="2093">
      <formula>G91&gt;F91</formula>
    </cfRule>
  </conditionalFormatting>
  <conditionalFormatting sqref="J91:K91">
    <cfRule type="expression" dxfId="2721" priority="2097">
      <formula>$AD91=4</formula>
    </cfRule>
    <cfRule type="expression" dxfId="2720" priority="2098">
      <formula>$AD91=3</formula>
    </cfRule>
    <cfRule type="expression" dxfId="2719" priority="2099">
      <formula>$AD91=2</formula>
    </cfRule>
    <cfRule type="expression" dxfId="2718" priority="2100">
      <formula>$AD91=1</formula>
    </cfRule>
  </conditionalFormatting>
  <conditionalFormatting sqref="J91:K91">
    <cfRule type="expression" dxfId="2717" priority="2096">
      <formula>$AC91=2</formula>
    </cfRule>
  </conditionalFormatting>
  <conditionalFormatting sqref="L91">
    <cfRule type="expression" dxfId="2716" priority="2095">
      <formula>$AC91=2</formula>
    </cfRule>
  </conditionalFormatting>
  <conditionalFormatting sqref="G91">
    <cfRule type="expression" dxfId="2715" priority="2094">
      <formula>$AC91=2</formula>
    </cfRule>
  </conditionalFormatting>
  <conditionalFormatting sqref="O91">
    <cfRule type="expression" dxfId="2714" priority="2092">
      <formula>$AC91=2</formula>
    </cfRule>
  </conditionalFormatting>
  <conditionalFormatting sqref="V91">
    <cfRule type="expression" dxfId="2713" priority="2091">
      <formula>$AC91=2</formula>
    </cfRule>
  </conditionalFormatting>
  <conditionalFormatting sqref="U91">
    <cfRule type="expression" dxfId="2712" priority="2090">
      <formula>$AC91=2</formula>
    </cfRule>
  </conditionalFormatting>
  <conditionalFormatting sqref="U91">
    <cfRule type="expression" dxfId="2711" priority="2089">
      <formula>U91&gt;F91</formula>
    </cfRule>
  </conditionalFormatting>
  <conditionalFormatting sqref="Q96:R97">
    <cfRule type="expression" dxfId="2710" priority="2083">
      <formula>$AE96=4</formula>
    </cfRule>
    <cfRule type="expression" dxfId="2709" priority="2084">
      <formula>$AE96=3</formula>
    </cfRule>
    <cfRule type="expression" dxfId="2708" priority="2085">
      <formula>$AE96=2</formula>
    </cfRule>
    <cfRule type="expression" dxfId="2707" priority="2086">
      <formula>$AE96=1</formula>
    </cfRule>
  </conditionalFormatting>
  <conditionalFormatting sqref="X96:Y97">
    <cfRule type="expression" dxfId="2706" priority="2079">
      <formula>$AF96=4</formula>
    </cfRule>
    <cfRule type="expression" dxfId="2705" priority="2080">
      <formula>$AF96=3</formula>
    </cfRule>
    <cfRule type="expression" dxfId="2704" priority="2081">
      <formula>$AF96=2</formula>
    </cfRule>
    <cfRule type="expression" dxfId="2703" priority="2082">
      <formula>$AF96=1</formula>
    </cfRule>
  </conditionalFormatting>
  <conditionalFormatting sqref="N96:N97">
    <cfRule type="expression" dxfId="2702" priority="2078">
      <formula>$AC96=2</formula>
    </cfRule>
  </conditionalFormatting>
  <conditionalFormatting sqref="N96:N97">
    <cfRule type="expression" dxfId="2701" priority="2077">
      <formula>N96&gt;F96</formula>
    </cfRule>
  </conditionalFormatting>
  <conditionalFormatting sqref="G96:G97">
    <cfRule type="expression" dxfId="2700" priority="2064">
      <formula>G96&gt;F96</formula>
    </cfRule>
  </conditionalFormatting>
  <conditionalFormatting sqref="J96:K97">
    <cfRule type="expression" dxfId="2699" priority="2068">
      <formula>$AD96=4</formula>
    </cfRule>
    <cfRule type="expression" dxfId="2698" priority="2069">
      <formula>$AD96=3</formula>
    </cfRule>
    <cfRule type="expression" dxfId="2697" priority="2070">
      <formula>$AD96=2</formula>
    </cfRule>
    <cfRule type="expression" dxfId="2696" priority="2071">
      <formula>$AD96=1</formula>
    </cfRule>
  </conditionalFormatting>
  <conditionalFormatting sqref="J96:K97">
    <cfRule type="expression" dxfId="2695" priority="2067">
      <formula>$AC96=2</formula>
    </cfRule>
  </conditionalFormatting>
  <conditionalFormatting sqref="L96:L97">
    <cfRule type="expression" dxfId="2694" priority="2066">
      <formula>$AC96=2</formula>
    </cfRule>
  </conditionalFormatting>
  <conditionalFormatting sqref="G96:G97">
    <cfRule type="expression" dxfId="2693" priority="2065">
      <formula>$AC96=2</formula>
    </cfRule>
  </conditionalFormatting>
  <conditionalFormatting sqref="O96:O97">
    <cfRule type="expression" dxfId="2692" priority="2063">
      <formula>$AC96=2</formula>
    </cfRule>
  </conditionalFormatting>
  <conditionalFormatting sqref="V96:V97">
    <cfRule type="expression" dxfId="2691" priority="2062">
      <formula>$AC96=2</formula>
    </cfRule>
  </conditionalFormatting>
  <conditionalFormatting sqref="U96:U97">
    <cfRule type="expression" dxfId="2690" priority="2061">
      <formula>$AC96=2</formula>
    </cfRule>
  </conditionalFormatting>
  <conditionalFormatting sqref="U96:U97">
    <cfRule type="expression" dxfId="2689" priority="2060">
      <formula>U96&gt;F96</formula>
    </cfRule>
  </conditionalFormatting>
  <conditionalFormatting sqref="Q100:R100">
    <cfRule type="expression" dxfId="2688" priority="2054">
      <formula>$AE100=4</formula>
    </cfRule>
    <cfRule type="expression" dxfId="2687" priority="2055">
      <formula>$AE100=3</formula>
    </cfRule>
    <cfRule type="expression" dxfId="2686" priority="2056">
      <formula>$AE100=2</formula>
    </cfRule>
    <cfRule type="expression" dxfId="2685" priority="2057">
      <formula>$AE100=1</formula>
    </cfRule>
  </conditionalFormatting>
  <conditionalFormatting sqref="X100:Y100">
    <cfRule type="expression" dxfId="2684" priority="2050">
      <formula>$AF100=4</formula>
    </cfRule>
    <cfRule type="expression" dxfId="2683" priority="2051">
      <formula>$AF100=3</formula>
    </cfRule>
    <cfRule type="expression" dxfId="2682" priority="2052">
      <formula>$AF100=2</formula>
    </cfRule>
    <cfRule type="expression" dxfId="2681" priority="2053">
      <formula>$AF100=1</formula>
    </cfRule>
  </conditionalFormatting>
  <conditionalFormatting sqref="N100">
    <cfRule type="expression" dxfId="2680" priority="2049">
      <formula>$AC100=2</formula>
    </cfRule>
  </conditionalFormatting>
  <conditionalFormatting sqref="N100">
    <cfRule type="expression" dxfId="2679" priority="2048">
      <formula>N100&gt;F100</formula>
    </cfRule>
  </conditionalFormatting>
  <conditionalFormatting sqref="G100">
    <cfRule type="expression" dxfId="2678" priority="2035">
      <formula>G100&gt;F100</formula>
    </cfRule>
  </conditionalFormatting>
  <conditionalFormatting sqref="J100:K100">
    <cfRule type="expression" dxfId="2677" priority="2039">
      <formula>$AD100=4</formula>
    </cfRule>
    <cfRule type="expression" dxfId="2676" priority="2040">
      <formula>$AD100=3</formula>
    </cfRule>
    <cfRule type="expression" dxfId="2675" priority="2041">
      <formula>$AD100=2</formula>
    </cfRule>
    <cfRule type="expression" dxfId="2674" priority="2042">
      <formula>$AD100=1</formula>
    </cfRule>
  </conditionalFormatting>
  <conditionalFormatting sqref="J100:K100">
    <cfRule type="expression" dxfId="2673" priority="2038">
      <formula>$AC100=2</formula>
    </cfRule>
  </conditionalFormatting>
  <conditionalFormatting sqref="L100">
    <cfRule type="expression" dxfId="2672" priority="2037">
      <formula>$AC100=2</formula>
    </cfRule>
  </conditionalFormatting>
  <conditionalFormatting sqref="G100">
    <cfRule type="expression" dxfId="2671" priority="2036">
      <formula>$AC100=2</formula>
    </cfRule>
  </conditionalFormatting>
  <conditionalFormatting sqref="O100">
    <cfRule type="expression" dxfId="2670" priority="2034">
      <formula>$AC100=2</formula>
    </cfRule>
  </conditionalFormatting>
  <conditionalFormatting sqref="V100">
    <cfRule type="expression" dxfId="2669" priority="2033">
      <formula>$AC100=2</formula>
    </cfRule>
  </conditionalFormatting>
  <conditionalFormatting sqref="U100">
    <cfRule type="expression" dxfId="2668" priority="2032">
      <formula>$AC100=2</formula>
    </cfRule>
  </conditionalFormatting>
  <conditionalFormatting sqref="U100">
    <cfRule type="expression" dxfId="2667" priority="2031">
      <formula>U100&gt;F100</formula>
    </cfRule>
  </conditionalFormatting>
  <conditionalFormatting sqref="Q106:R106">
    <cfRule type="expression" dxfId="2666" priority="2025">
      <formula>$AE106=4</formula>
    </cfRule>
    <cfRule type="expression" dxfId="2665" priority="2026">
      <formula>$AE106=3</formula>
    </cfRule>
    <cfRule type="expression" dxfId="2664" priority="2027">
      <formula>$AE106=2</formula>
    </cfRule>
    <cfRule type="expression" dxfId="2663" priority="2028">
      <formula>$AE106=1</formula>
    </cfRule>
  </conditionalFormatting>
  <conditionalFormatting sqref="X106:Y106">
    <cfRule type="expression" dxfId="2662" priority="2021">
      <formula>$AF106=4</formula>
    </cfRule>
    <cfRule type="expression" dxfId="2661" priority="2022">
      <formula>$AF106=3</formula>
    </cfRule>
    <cfRule type="expression" dxfId="2660" priority="2023">
      <formula>$AF106=2</formula>
    </cfRule>
    <cfRule type="expression" dxfId="2659" priority="2024">
      <formula>$AF106=1</formula>
    </cfRule>
  </conditionalFormatting>
  <conditionalFormatting sqref="J106:K106">
    <cfRule type="expression" dxfId="2658" priority="2010">
      <formula>$AD106=4</formula>
    </cfRule>
    <cfRule type="expression" dxfId="2657" priority="2011">
      <formula>$AD106=3</formula>
    </cfRule>
    <cfRule type="expression" dxfId="2656" priority="2012">
      <formula>$AD106=2</formula>
    </cfRule>
    <cfRule type="expression" dxfId="2655" priority="2013">
      <formula>$AD106=1</formula>
    </cfRule>
  </conditionalFormatting>
  <conditionalFormatting sqref="J106:K106">
    <cfRule type="expression" dxfId="2654" priority="2009">
      <formula>$AC106=2</formula>
    </cfRule>
  </conditionalFormatting>
  <conditionalFormatting sqref="L106">
    <cfRule type="expression" dxfId="2653" priority="2008">
      <formula>$AC106=2</formula>
    </cfRule>
  </conditionalFormatting>
  <conditionalFormatting sqref="O106">
    <cfRule type="expression" dxfId="2652" priority="2005">
      <formula>$AC106=2</formula>
    </cfRule>
  </conditionalFormatting>
  <conditionalFormatting sqref="V106">
    <cfRule type="expression" dxfId="2651" priority="2004">
      <formula>$AC106=2</formula>
    </cfRule>
  </conditionalFormatting>
  <conditionalFormatting sqref="Q108:R108">
    <cfRule type="expression" dxfId="2650" priority="1996">
      <formula>$AE108=4</formula>
    </cfRule>
    <cfRule type="expression" dxfId="2649" priority="1997">
      <formula>$AE108=3</formula>
    </cfRule>
    <cfRule type="expression" dxfId="2648" priority="1998">
      <formula>$AE108=2</formula>
    </cfRule>
    <cfRule type="expression" dxfId="2647" priority="1999">
      <formula>$AE108=1</formula>
    </cfRule>
  </conditionalFormatting>
  <conditionalFormatting sqref="X108:Y108">
    <cfRule type="expression" dxfId="2646" priority="1992">
      <formula>$AF108=4</formula>
    </cfRule>
    <cfRule type="expression" dxfId="2645" priority="1993">
      <formula>$AF108=3</formula>
    </cfRule>
    <cfRule type="expression" dxfId="2644" priority="1994">
      <formula>$AF108=2</formula>
    </cfRule>
    <cfRule type="expression" dxfId="2643" priority="1995">
      <formula>$AF108=1</formula>
    </cfRule>
  </conditionalFormatting>
  <conditionalFormatting sqref="N108">
    <cfRule type="expression" dxfId="2642" priority="1991">
      <formula>$AC108=2</formula>
    </cfRule>
  </conditionalFormatting>
  <conditionalFormatting sqref="N108">
    <cfRule type="expression" dxfId="2641" priority="1990">
      <formula>N108&gt;F108</formula>
    </cfRule>
  </conditionalFormatting>
  <conditionalFormatting sqref="G108">
    <cfRule type="expression" dxfId="2640" priority="1977">
      <formula>G108&gt;F108</formula>
    </cfRule>
  </conditionalFormatting>
  <conditionalFormatting sqref="J108:K108">
    <cfRule type="expression" dxfId="2639" priority="1981">
      <formula>$AD108=4</formula>
    </cfRule>
    <cfRule type="expression" dxfId="2638" priority="1982">
      <formula>$AD108=3</formula>
    </cfRule>
    <cfRule type="expression" dxfId="2637" priority="1983">
      <formula>$AD108=2</formula>
    </cfRule>
    <cfRule type="expression" dxfId="2636" priority="1984">
      <formula>$AD108=1</formula>
    </cfRule>
  </conditionalFormatting>
  <conditionalFormatting sqref="J108:K108">
    <cfRule type="expression" dxfId="2635" priority="1980">
      <formula>$AC108=2</formula>
    </cfRule>
  </conditionalFormatting>
  <conditionalFormatting sqref="L108">
    <cfRule type="expression" dxfId="2634" priority="1979">
      <formula>$AC108=2</formula>
    </cfRule>
  </conditionalFormatting>
  <conditionalFormatting sqref="G108">
    <cfRule type="expression" dxfId="2633" priority="1978">
      <formula>$AC108=2</formula>
    </cfRule>
  </conditionalFormatting>
  <conditionalFormatting sqref="O108">
    <cfRule type="expression" dxfId="2632" priority="1976">
      <formula>$AC108=2</formula>
    </cfRule>
  </conditionalFormatting>
  <conditionalFormatting sqref="V108">
    <cfRule type="expression" dxfId="2631" priority="1975">
      <formula>$AC108=2</formula>
    </cfRule>
  </conditionalFormatting>
  <conditionalFormatting sqref="U108">
    <cfRule type="expression" dxfId="2630" priority="1974">
      <formula>$AC108=2</formula>
    </cfRule>
  </conditionalFormatting>
  <conditionalFormatting sqref="U108">
    <cfRule type="expression" dxfId="2629" priority="1973">
      <formula>U108&gt;F108</formula>
    </cfRule>
  </conditionalFormatting>
  <conditionalFormatting sqref="Q110:R112">
    <cfRule type="expression" dxfId="2628" priority="1967">
      <formula>$AE110=4</formula>
    </cfRule>
    <cfRule type="expression" dxfId="2627" priority="1968">
      <formula>$AE110=3</formula>
    </cfRule>
    <cfRule type="expression" dxfId="2626" priority="1969">
      <formula>$AE110=2</formula>
    </cfRule>
    <cfRule type="expression" dxfId="2625" priority="1970">
      <formula>$AE110=1</formula>
    </cfRule>
  </conditionalFormatting>
  <conditionalFormatting sqref="X110:Y112">
    <cfRule type="expression" dxfId="2624" priority="1963">
      <formula>$AF110=4</formula>
    </cfRule>
    <cfRule type="expression" dxfId="2623" priority="1964">
      <formula>$AF110=3</formula>
    </cfRule>
    <cfRule type="expression" dxfId="2622" priority="1965">
      <formula>$AF110=2</formula>
    </cfRule>
    <cfRule type="expression" dxfId="2621" priority="1966">
      <formula>$AF110=1</formula>
    </cfRule>
  </conditionalFormatting>
  <conditionalFormatting sqref="N110:N112">
    <cfRule type="expression" dxfId="2620" priority="1962">
      <formula>$AC110=2</formula>
    </cfRule>
  </conditionalFormatting>
  <conditionalFormatting sqref="N110:N112">
    <cfRule type="expression" dxfId="2619" priority="1961">
      <formula>N110&gt;F110</formula>
    </cfRule>
  </conditionalFormatting>
  <conditionalFormatting sqref="G110:G112">
    <cfRule type="expression" dxfId="2618" priority="1948">
      <formula>G110&gt;F110</formula>
    </cfRule>
  </conditionalFormatting>
  <conditionalFormatting sqref="J110:K112">
    <cfRule type="expression" dxfId="2617" priority="1952">
      <formula>$AD110=4</formula>
    </cfRule>
    <cfRule type="expression" dxfId="2616" priority="1953">
      <formula>$AD110=3</formula>
    </cfRule>
    <cfRule type="expression" dxfId="2615" priority="1954">
      <formula>$AD110=2</formula>
    </cfRule>
    <cfRule type="expression" dxfId="2614" priority="1955">
      <formula>$AD110=1</formula>
    </cfRule>
  </conditionalFormatting>
  <conditionalFormatting sqref="J110:K112">
    <cfRule type="expression" dxfId="2613" priority="1951">
      <formula>$AC110=2</formula>
    </cfRule>
  </conditionalFormatting>
  <conditionalFormatting sqref="L110:L112">
    <cfRule type="expression" dxfId="2612" priority="1950">
      <formula>$AC110=2</formula>
    </cfRule>
  </conditionalFormatting>
  <conditionalFormatting sqref="G110:G112">
    <cfRule type="expression" dxfId="2611" priority="1949">
      <formula>$AC110=2</formula>
    </cfRule>
  </conditionalFormatting>
  <conditionalFormatting sqref="O110:O112">
    <cfRule type="expression" dxfId="2610" priority="1947">
      <formula>$AC110=2</formula>
    </cfRule>
  </conditionalFormatting>
  <conditionalFormatting sqref="V110:V112">
    <cfRule type="expression" dxfId="2609" priority="1946">
      <formula>$AC110=2</formula>
    </cfRule>
  </conditionalFormatting>
  <conditionalFormatting sqref="U110:U112">
    <cfRule type="expression" dxfId="2608" priority="1945">
      <formula>$AC110=2</formula>
    </cfRule>
  </conditionalFormatting>
  <conditionalFormatting sqref="U110:U112">
    <cfRule type="expression" dxfId="2607" priority="1944">
      <formula>U110&gt;F110</formula>
    </cfRule>
  </conditionalFormatting>
  <conditionalFormatting sqref="Q114:R114">
    <cfRule type="expression" dxfId="2606" priority="1938">
      <formula>$AE114=4</formula>
    </cfRule>
    <cfRule type="expression" dxfId="2605" priority="1939">
      <formula>$AE114=3</formula>
    </cfRule>
    <cfRule type="expression" dxfId="2604" priority="1940">
      <formula>$AE114=2</formula>
    </cfRule>
    <cfRule type="expression" dxfId="2603" priority="1941">
      <formula>$AE114=1</formula>
    </cfRule>
  </conditionalFormatting>
  <conditionalFormatting sqref="X114:Y114">
    <cfRule type="expression" dxfId="2602" priority="1934">
      <formula>$AF114=4</formula>
    </cfRule>
    <cfRule type="expression" dxfId="2601" priority="1935">
      <formula>$AF114=3</formula>
    </cfRule>
    <cfRule type="expression" dxfId="2600" priority="1936">
      <formula>$AF114=2</formula>
    </cfRule>
    <cfRule type="expression" dxfId="2599" priority="1937">
      <formula>$AF114=1</formula>
    </cfRule>
  </conditionalFormatting>
  <conditionalFormatting sqref="N114">
    <cfRule type="expression" dxfId="2598" priority="1933">
      <formula>$AC114=2</formula>
    </cfRule>
  </conditionalFormatting>
  <conditionalFormatting sqref="N114">
    <cfRule type="expression" dxfId="2597" priority="1932">
      <formula>N114&gt;F114</formula>
    </cfRule>
  </conditionalFormatting>
  <conditionalFormatting sqref="G114">
    <cfRule type="expression" dxfId="2596" priority="1919">
      <formula>G114&gt;F114</formula>
    </cfRule>
  </conditionalFormatting>
  <conditionalFormatting sqref="J114:K114">
    <cfRule type="expression" dxfId="2595" priority="1923">
      <formula>$AD114=4</formula>
    </cfRule>
    <cfRule type="expression" dxfId="2594" priority="1924">
      <formula>$AD114=3</formula>
    </cfRule>
    <cfRule type="expression" dxfId="2593" priority="1925">
      <formula>$AD114=2</formula>
    </cfRule>
    <cfRule type="expression" dxfId="2592" priority="1926">
      <formula>$AD114=1</formula>
    </cfRule>
  </conditionalFormatting>
  <conditionalFormatting sqref="J114:K114">
    <cfRule type="expression" dxfId="2591" priority="1922">
      <formula>$AC114=2</formula>
    </cfRule>
  </conditionalFormatting>
  <conditionalFormatting sqref="L114">
    <cfRule type="expression" dxfId="2590" priority="1921">
      <formula>$AC114=2</formula>
    </cfRule>
  </conditionalFormatting>
  <conditionalFormatting sqref="G114">
    <cfRule type="expression" dxfId="2589" priority="1920">
      <formula>$AC114=2</formula>
    </cfRule>
  </conditionalFormatting>
  <conditionalFormatting sqref="O114">
    <cfRule type="expression" dxfId="2588" priority="1918">
      <formula>$AC114=2</formula>
    </cfRule>
  </conditionalFormatting>
  <conditionalFormatting sqref="V114">
    <cfRule type="expression" dxfId="2587" priority="1917">
      <formula>$AC114=2</formula>
    </cfRule>
  </conditionalFormatting>
  <conditionalFormatting sqref="U114">
    <cfRule type="expression" dxfId="2586" priority="1916">
      <formula>$AC114=2</formula>
    </cfRule>
  </conditionalFormatting>
  <conditionalFormatting sqref="U114">
    <cfRule type="expression" dxfId="2585" priority="1915">
      <formula>U114&gt;F114</formula>
    </cfRule>
  </conditionalFormatting>
  <conditionalFormatting sqref="Q119:R120">
    <cfRule type="expression" dxfId="2584" priority="1909">
      <formula>$AE119=4</formula>
    </cfRule>
    <cfRule type="expression" dxfId="2583" priority="1910">
      <formula>$AE119=3</formula>
    </cfRule>
    <cfRule type="expression" dxfId="2582" priority="1911">
      <formula>$AE119=2</formula>
    </cfRule>
    <cfRule type="expression" dxfId="2581" priority="1912">
      <formula>$AE119=1</formula>
    </cfRule>
  </conditionalFormatting>
  <conditionalFormatting sqref="X119:Y120">
    <cfRule type="expression" dxfId="2580" priority="1905">
      <formula>$AF119=4</formula>
    </cfRule>
    <cfRule type="expression" dxfId="2579" priority="1906">
      <formula>$AF119=3</formula>
    </cfRule>
    <cfRule type="expression" dxfId="2578" priority="1907">
      <formula>$AF119=2</formula>
    </cfRule>
    <cfRule type="expression" dxfId="2577" priority="1908">
      <formula>$AF119=1</formula>
    </cfRule>
  </conditionalFormatting>
  <conditionalFormatting sqref="N120">
    <cfRule type="expression" dxfId="2576" priority="1904">
      <formula>$AC120=2</formula>
    </cfRule>
  </conditionalFormatting>
  <conditionalFormatting sqref="N120">
    <cfRule type="expression" dxfId="2575" priority="1903">
      <formula>N120&gt;F120</formula>
    </cfRule>
  </conditionalFormatting>
  <conditionalFormatting sqref="G120">
    <cfRule type="expression" dxfId="2574" priority="1890">
      <formula>G120&gt;F120</formula>
    </cfRule>
  </conditionalFormatting>
  <conditionalFormatting sqref="J119:K120">
    <cfRule type="expression" dxfId="2573" priority="1894">
      <formula>$AD119=4</formula>
    </cfRule>
    <cfRule type="expression" dxfId="2572" priority="1895">
      <formula>$AD119=3</formula>
    </cfRule>
    <cfRule type="expression" dxfId="2571" priority="1896">
      <formula>$AD119=2</formula>
    </cfRule>
    <cfRule type="expression" dxfId="2570" priority="1897">
      <formula>$AD119=1</formula>
    </cfRule>
  </conditionalFormatting>
  <conditionalFormatting sqref="J119:K120">
    <cfRule type="expression" dxfId="2569" priority="1893">
      <formula>$AC119=2</formula>
    </cfRule>
  </conditionalFormatting>
  <conditionalFormatting sqref="L119:L120">
    <cfRule type="expression" dxfId="2568" priority="1892">
      <formula>$AC119=2</formula>
    </cfRule>
  </conditionalFormatting>
  <conditionalFormatting sqref="G120">
    <cfRule type="expression" dxfId="2567" priority="1891">
      <formula>$AC120=2</formula>
    </cfRule>
  </conditionalFormatting>
  <conditionalFormatting sqref="O119:O120">
    <cfRule type="expression" dxfId="2566" priority="1889">
      <formula>$AC119=2</formula>
    </cfRule>
  </conditionalFormatting>
  <conditionalFormatting sqref="V119:V120">
    <cfRule type="expression" dxfId="2565" priority="1888">
      <formula>$AC119=2</formula>
    </cfRule>
  </conditionalFormatting>
  <conditionalFormatting sqref="U120">
    <cfRule type="expression" dxfId="2564" priority="1887">
      <formula>$AC120=2</formula>
    </cfRule>
  </conditionalFormatting>
  <conditionalFormatting sqref="U120">
    <cfRule type="expression" dxfId="2563" priority="1886">
      <formula>U120&gt;F120</formula>
    </cfRule>
  </conditionalFormatting>
  <conditionalFormatting sqref="Q121:R121">
    <cfRule type="expression" dxfId="2562" priority="1880">
      <formula>$AE121=4</formula>
    </cfRule>
    <cfRule type="expression" dxfId="2561" priority="1881">
      <formula>$AE121=3</formula>
    </cfRule>
    <cfRule type="expression" dxfId="2560" priority="1882">
      <formula>$AE121=2</formula>
    </cfRule>
    <cfRule type="expression" dxfId="2559" priority="1883">
      <formula>$AE121=1</formula>
    </cfRule>
  </conditionalFormatting>
  <conditionalFormatting sqref="X121:Y121">
    <cfRule type="expression" dxfId="2558" priority="1876">
      <formula>$AF121=4</formula>
    </cfRule>
    <cfRule type="expression" dxfId="2557" priority="1877">
      <formula>$AF121=3</formula>
    </cfRule>
    <cfRule type="expression" dxfId="2556" priority="1878">
      <formula>$AF121=2</formula>
    </cfRule>
    <cfRule type="expression" dxfId="2555" priority="1879">
      <formula>$AF121=1</formula>
    </cfRule>
  </conditionalFormatting>
  <conditionalFormatting sqref="N121">
    <cfRule type="expression" dxfId="2554" priority="1875">
      <formula>$AC121=2</formula>
    </cfRule>
  </conditionalFormatting>
  <conditionalFormatting sqref="N121">
    <cfRule type="expression" dxfId="2553" priority="1874">
      <formula>N121&gt;F121</formula>
    </cfRule>
  </conditionalFormatting>
  <conditionalFormatting sqref="G121">
    <cfRule type="expression" dxfId="2552" priority="1861">
      <formula>G121&gt;F121</formula>
    </cfRule>
  </conditionalFormatting>
  <conditionalFormatting sqref="J121:K121">
    <cfRule type="expression" dxfId="2551" priority="1865">
      <formula>$AD121=4</formula>
    </cfRule>
    <cfRule type="expression" dxfId="2550" priority="1866">
      <formula>$AD121=3</formula>
    </cfRule>
    <cfRule type="expression" dxfId="2549" priority="1867">
      <formula>$AD121=2</formula>
    </cfRule>
    <cfRule type="expression" dxfId="2548" priority="1868">
      <formula>$AD121=1</formula>
    </cfRule>
  </conditionalFormatting>
  <conditionalFormatting sqref="J121:K121">
    <cfRule type="expression" dxfId="2547" priority="1864">
      <formula>$AC121=2</formula>
    </cfRule>
  </conditionalFormatting>
  <conditionalFormatting sqref="L121">
    <cfRule type="expression" dxfId="2546" priority="1863">
      <formula>$AC121=2</formula>
    </cfRule>
  </conditionalFormatting>
  <conditionalFormatting sqref="G121">
    <cfRule type="expression" dxfId="2545" priority="1862">
      <formula>$AC121=2</formula>
    </cfRule>
  </conditionalFormatting>
  <conditionalFormatting sqref="O121">
    <cfRule type="expression" dxfId="2544" priority="1860">
      <formula>$AC121=2</formula>
    </cfRule>
  </conditionalFormatting>
  <conditionalFormatting sqref="V121">
    <cfRule type="expression" dxfId="2543" priority="1859">
      <formula>$AC121=2</formula>
    </cfRule>
  </conditionalFormatting>
  <conditionalFormatting sqref="U121">
    <cfRule type="expression" dxfId="2542" priority="1858">
      <formula>$AC121=2</formula>
    </cfRule>
  </conditionalFormatting>
  <conditionalFormatting sqref="U121">
    <cfRule type="expression" dxfId="2541" priority="1857">
      <formula>U121&gt;F121</formula>
    </cfRule>
  </conditionalFormatting>
  <conditionalFormatting sqref="Q123:R125">
    <cfRule type="expression" dxfId="2540" priority="1851">
      <formula>$AE123=4</formula>
    </cfRule>
    <cfRule type="expression" dxfId="2539" priority="1852">
      <formula>$AE123=3</formula>
    </cfRule>
    <cfRule type="expression" dxfId="2538" priority="1853">
      <formula>$AE123=2</formula>
    </cfRule>
    <cfRule type="expression" dxfId="2537" priority="1854">
      <formula>$AE123=1</formula>
    </cfRule>
  </conditionalFormatting>
  <conditionalFormatting sqref="X123:Y125">
    <cfRule type="expression" dxfId="2536" priority="1847">
      <formula>$AF123=4</formula>
    </cfRule>
    <cfRule type="expression" dxfId="2535" priority="1848">
      <formula>$AF123=3</formula>
    </cfRule>
    <cfRule type="expression" dxfId="2534" priority="1849">
      <formula>$AF123=2</formula>
    </cfRule>
    <cfRule type="expression" dxfId="2533" priority="1850">
      <formula>$AF123=1</formula>
    </cfRule>
  </conditionalFormatting>
  <conditionalFormatting sqref="N124:N125">
    <cfRule type="expression" dxfId="2532" priority="1846">
      <formula>$AC124=2</formula>
    </cfRule>
  </conditionalFormatting>
  <conditionalFormatting sqref="N124:N125">
    <cfRule type="expression" dxfId="2531" priority="1845">
      <formula>N124&gt;F124</formula>
    </cfRule>
  </conditionalFormatting>
  <conditionalFormatting sqref="G124:G125">
    <cfRule type="expression" dxfId="2530" priority="1832">
      <formula>G124&gt;F124</formula>
    </cfRule>
  </conditionalFormatting>
  <conditionalFormatting sqref="J123:K125">
    <cfRule type="expression" dxfId="2529" priority="1836">
      <formula>$AD123=4</formula>
    </cfRule>
    <cfRule type="expression" dxfId="2528" priority="1837">
      <formula>$AD123=3</formula>
    </cfRule>
    <cfRule type="expression" dxfId="2527" priority="1838">
      <formula>$AD123=2</formula>
    </cfRule>
    <cfRule type="expression" dxfId="2526" priority="1839">
      <formula>$AD123=1</formula>
    </cfRule>
  </conditionalFormatting>
  <conditionalFormatting sqref="J123:K125">
    <cfRule type="expression" dxfId="2525" priority="1835">
      <formula>$AC123=2</formula>
    </cfRule>
  </conditionalFormatting>
  <conditionalFormatting sqref="L123:L125">
    <cfRule type="expression" dxfId="2524" priority="1834">
      <formula>$AC123=2</formula>
    </cfRule>
  </conditionalFormatting>
  <conditionalFormatting sqref="G124:G125">
    <cfRule type="expression" dxfId="2523" priority="1833">
      <formula>$AC124=2</formula>
    </cfRule>
  </conditionalFormatting>
  <conditionalFormatting sqref="O123:O125">
    <cfRule type="expression" dxfId="2522" priority="1831">
      <formula>$AC123=2</formula>
    </cfRule>
  </conditionalFormatting>
  <conditionalFormatting sqref="V123:V125">
    <cfRule type="expression" dxfId="2521" priority="1830">
      <formula>$AC123=2</formula>
    </cfRule>
  </conditionalFormatting>
  <conditionalFormatting sqref="U124:U125">
    <cfRule type="expression" dxfId="2520" priority="1829">
      <formula>$AC124=2</formula>
    </cfRule>
  </conditionalFormatting>
  <conditionalFormatting sqref="U124:U125">
    <cfRule type="expression" dxfId="2519" priority="1828">
      <formula>U124&gt;F124</formula>
    </cfRule>
  </conditionalFormatting>
  <conditionalFormatting sqref="Q127:R129">
    <cfRule type="expression" dxfId="2518" priority="1822">
      <formula>$AE127=4</formula>
    </cfRule>
    <cfRule type="expression" dxfId="2517" priority="1823">
      <formula>$AE127=3</formula>
    </cfRule>
    <cfRule type="expression" dxfId="2516" priority="1824">
      <formula>$AE127=2</formula>
    </cfRule>
    <cfRule type="expression" dxfId="2515" priority="1825">
      <formula>$AE127=1</formula>
    </cfRule>
  </conditionalFormatting>
  <conditionalFormatting sqref="X127:Y129">
    <cfRule type="expression" dxfId="2514" priority="1818">
      <formula>$AF127=4</formula>
    </cfRule>
    <cfRule type="expression" dxfId="2513" priority="1819">
      <formula>$AF127=3</formula>
    </cfRule>
    <cfRule type="expression" dxfId="2512" priority="1820">
      <formula>$AF127=2</formula>
    </cfRule>
    <cfRule type="expression" dxfId="2511" priority="1821">
      <formula>$AF127=1</formula>
    </cfRule>
  </conditionalFormatting>
  <conditionalFormatting sqref="N128:N129">
    <cfRule type="expression" dxfId="2510" priority="1817">
      <formula>$AC128=2</formula>
    </cfRule>
  </conditionalFormatting>
  <conditionalFormatting sqref="N128:N129">
    <cfRule type="expression" dxfId="2509" priority="1816">
      <formula>N128&gt;F128</formula>
    </cfRule>
  </conditionalFormatting>
  <conditionalFormatting sqref="G128:G129">
    <cfRule type="expression" dxfId="2508" priority="1803">
      <formula>G128&gt;F128</formula>
    </cfRule>
  </conditionalFormatting>
  <conditionalFormatting sqref="J127:K129">
    <cfRule type="expression" dxfId="2507" priority="1807">
      <formula>$AD127=4</formula>
    </cfRule>
    <cfRule type="expression" dxfId="2506" priority="1808">
      <formula>$AD127=3</formula>
    </cfRule>
    <cfRule type="expression" dxfId="2505" priority="1809">
      <formula>$AD127=2</formula>
    </cfRule>
    <cfRule type="expression" dxfId="2504" priority="1810">
      <formula>$AD127=1</formula>
    </cfRule>
  </conditionalFormatting>
  <conditionalFormatting sqref="J127:K129">
    <cfRule type="expression" dxfId="2503" priority="1806">
      <formula>$AC127=2</formula>
    </cfRule>
  </conditionalFormatting>
  <conditionalFormatting sqref="L127:L129">
    <cfRule type="expression" dxfId="2502" priority="1805">
      <formula>$AC127=2</formula>
    </cfRule>
  </conditionalFormatting>
  <conditionalFormatting sqref="G128:G129">
    <cfRule type="expression" dxfId="2501" priority="1804">
      <formula>$AC128=2</formula>
    </cfRule>
  </conditionalFormatting>
  <conditionalFormatting sqref="O127:O129">
    <cfRule type="expression" dxfId="2500" priority="1802">
      <formula>$AC127=2</formula>
    </cfRule>
  </conditionalFormatting>
  <conditionalFormatting sqref="V127:V129">
    <cfRule type="expression" dxfId="2499" priority="1801">
      <formula>$AC127=2</formula>
    </cfRule>
  </conditionalFormatting>
  <conditionalFormatting sqref="U128:U129">
    <cfRule type="expression" dxfId="2498" priority="1800">
      <formula>$AC128=2</formula>
    </cfRule>
  </conditionalFormatting>
  <conditionalFormatting sqref="U128:U129">
    <cfRule type="expression" dxfId="2497" priority="1799">
      <formula>U128&gt;F128</formula>
    </cfRule>
  </conditionalFormatting>
  <conditionalFormatting sqref="Q131:R134">
    <cfRule type="expression" dxfId="2496" priority="1793">
      <formula>$AE131=4</formula>
    </cfRule>
    <cfRule type="expression" dxfId="2495" priority="1794">
      <formula>$AE131=3</formula>
    </cfRule>
    <cfRule type="expression" dxfId="2494" priority="1795">
      <formula>$AE131=2</formula>
    </cfRule>
    <cfRule type="expression" dxfId="2493" priority="1796">
      <formula>$AE131=1</formula>
    </cfRule>
  </conditionalFormatting>
  <conditionalFormatting sqref="X131:Y134">
    <cfRule type="expression" dxfId="2492" priority="1789">
      <formula>$AF131=4</formula>
    </cfRule>
    <cfRule type="expression" dxfId="2491" priority="1790">
      <formula>$AF131=3</formula>
    </cfRule>
    <cfRule type="expression" dxfId="2490" priority="1791">
      <formula>$AF131=2</formula>
    </cfRule>
    <cfRule type="expression" dxfId="2489" priority="1792">
      <formula>$AF131=1</formula>
    </cfRule>
  </conditionalFormatting>
  <conditionalFormatting sqref="N132:N134">
    <cfRule type="expression" dxfId="2488" priority="1788">
      <formula>$AC132=2</formula>
    </cfRule>
  </conditionalFormatting>
  <conditionalFormatting sqref="N132:N134">
    <cfRule type="expression" dxfId="2487" priority="1787">
      <formula>N132&gt;F132</formula>
    </cfRule>
  </conditionalFormatting>
  <conditionalFormatting sqref="G132:G134">
    <cfRule type="expression" dxfId="2486" priority="1774">
      <formula>G132&gt;F132</formula>
    </cfRule>
  </conditionalFormatting>
  <conditionalFormatting sqref="J131:K132">
    <cfRule type="expression" dxfId="2485" priority="1778">
      <formula>$AD131=4</formula>
    </cfRule>
    <cfRule type="expression" dxfId="2484" priority="1779">
      <formula>$AD131=3</formula>
    </cfRule>
    <cfRule type="expression" dxfId="2483" priority="1780">
      <formula>$AD131=2</formula>
    </cfRule>
    <cfRule type="expression" dxfId="2482" priority="1781">
      <formula>$AD131=1</formula>
    </cfRule>
  </conditionalFormatting>
  <conditionalFormatting sqref="J131:K132">
    <cfRule type="expression" dxfId="2481" priority="1777">
      <formula>$AC131=2</formula>
    </cfRule>
  </conditionalFormatting>
  <conditionalFormatting sqref="L131:L134">
    <cfRule type="expression" dxfId="2480" priority="1776">
      <formula>$AC131=2</formula>
    </cfRule>
  </conditionalFormatting>
  <conditionalFormatting sqref="G132:G134">
    <cfRule type="expression" dxfId="2479" priority="1775">
      <formula>$AC132=2</formula>
    </cfRule>
  </conditionalFormatting>
  <conditionalFormatting sqref="O131:O134">
    <cfRule type="expression" dxfId="2478" priority="1773">
      <formula>$AC131=2</formula>
    </cfRule>
  </conditionalFormatting>
  <conditionalFormatting sqref="V131:V134">
    <cfRule type="expression" dxfId="2477" priority="1772">
      <formula>$AC131=2</formula>
    </cfRule>
  </conditionalFormatting>
  <conditionalFormatting sqref="U132:U134">
    <cfRule type="expression" dxfId="2476" priority="1771">
      <formula>$AC132=2</formula>
    </cfRule>
  </conditionalFormatting>
  <conditionalFormatting sqref="U132:U134">
    <cfRule type="expression" dxfId="2475" priority="1770">
      <formula>U132&gt;F132</formula>
    </cfRule>
  </conditionalFormatting>
  <conditionalFormatting sqref="Q138:R140">
    <cfRule type="expression" dxfId="2474" priority="1764">
      <formula>$AE138=4</formula>
    </cfRule>
    <cfRule type="expression" dxfId="2473" priority="1765">
      <formula>$AE138=3</formula>
    </cfRule>
    <cfRule type="expression" dxfId="2472" priority="1766">
      <formula>$AE138=2</formula>
    </cfRule>
    <cfRule type="expression" dxfId="2471" priority="1767">
      <formula>$AE138=1</formula>
    </cfRule>
  </conditionalFormatting>
  <conditionalFormatting sqref="X138:Y140">
    <cfRule type="expression" dxfId="2470" priority="1760">
      <formula>$AF138=4</formula>
    </cfRule>
    <cfRule type="expression" dxfId="2469" priority="1761">
      <formula>$AF138=3</formula>
    </cfRule>
    <cfRule type="expression" dxfId="2468" priority="1762">
      <formula>$AF138=2</formula>
    </cfRule>
    <cfRule type="expression" dxfId="2467" priority="1763">
      <formula>$AF138=1</formula>
    </cfRule>
  </conditionalFormatting>
  <conditionalFormatting sqref="N138:N140">
    <cfRule type="expression" dxfId="2466" priority="1759">
      <formula>$AC138=2</formula>
    </cfRule>
  </conditionalFormatting>
  <conditionalFormatting sqref="N138:N140">
    <cfRule type="expression" dxfId="2465" priority="1758">
      <formula>N138&gt;F138</formula>
    </cfRule>
  </conditionalFormatting>
  <conditionalFormatting sqref="G138:G140">
    <cfRule type="expression" dxfId="2464" priority="1745">
      <formula>G138&gt;F138</formula>
    </cfRule>
  </conditionalFormatting>
  <conditionalFormatting sqref="J138:K140">
    <cfRule type="expression" dxfId="2463" priority="1749">
      <formula>$AD138=4</formula>
    </cfRule>
    <cfRule type="expression" dxfId="2462" priority="1750">
      <formula>$AD138=3</formula>
    </cfRule>
    <cfRule type="expression" dxfId="2461" priority="1751">
      <formula>$AD138=2</formula>
    </cfRule>
    <cfRule type="expression" dxfId="2460" priority="1752">
      <formula>$AD138=1</formula>
    </cfRule>
  </conditionalFormatting>
  <conditionalFormatting sqref="J138:K140">
    <cfRule type="expression" dxfId="2459" priority="1748">
      <formula>$AC138=2</formula>
    </cfRule>
  </conditionalFormatting>
  <conditionalFormatting sqref="L138:L140">
    <cfRule type="expression" dxfId="2458" priority="1747">
      <formula>$AC138=2</formula>
    </cfRule>
  </conditionalFormatting>
  <conditionalFormatting sqref="G138:G140">
    <cfRule type="expression" dxfId="2457" priority="1746">
      <formula>$AC138=2</formula>
    </cfRule>
  </conditionalFormatting>
  <conditionalFormatting sqref="O138:O140">
    <cfRule type="expression" dxfId="2456" priority="1744">
      <formula>$AC138=2</formula>
    </cfRule>
  </conditionalFormatting>
  <conditionalFormatting sqref="V138:V140">
    <cfRule type="expression" dxfId="2455" priority="1743">
      <formula>$AC138=2</formula>
    </cfRule>
  </conditionalFormatting>
  <conditionalFormatting sqref="U138:U140">
    <cfRule type="expression" dxfId="2454" priority="1742">
      <formula>$AC138=2</formula>
    </cfRule>
  </conditionalFormatting>
  <conditionalFormatting sqref="U138:U140">
    <cfRule type="expression" dxfId="2453" priority="1741">
      <formula>U138&gt;F138</formula>
    </cfRule>
  </conditionalFormatting>
  <conditionalFormatting sqref="Q142:R144">
    <cfRule type="expression" dxfId="2452" priority="1735">
      <formula>$AE142=4</formula>
    </cfRule>
    <cfRule type="expression" dxfId="2451" priority="1736">
      <formula>$AE142=3</formula>
    </cfRule>
    <cfRule type="expression" dxfId="2450" priority="1737">
      <formula>$AE142=2</formula>
    </cfRule>
    <cfRule type="expression" dxfId="2449" priority="1738">
      <formula>$AE142=1</formula>
    </cfRule>
  </conditionalFormatting>
  <conditionalFormatting sqref="X142:Y144">
    <cfRule type="expression" dxfId="2448" priority="1731">
      <formula>$AF142=4</formula>
    </cfRule>
    <cfRule type="expression" dxfId="2447" priority="1732">
      <formula>$AF142=3</formula>
    </cfRule>
    <cfRule type="expression" dxfId="2446" priority="1733">
      <formula>$AF142=2</formula>
    </cfRule>
    <cfRule type="expression" dxfId="2445" priority="1734">
      <formula>$AF142=1</formula>
    </cfRule>
  </conditionalFormatting>
  <conditionalFormatting sqref="N142:N144">
    <cfRule type="expression" dxfId="2444" priority="1730">
      <formula>$AC142=2</formula>
    </cfRule>
  </conditionalFormatting>
  <conditionalFormatting sqref="N142:N144">
    <cfRule type="expression" dxfId="2443" priority="1729">
      <formula>N142&gt;F142</formula>
    </cfRule>
  </conditionalFormatting>
  <conditionalFormatting sqref="G142:G144">
    <cfRule type="expression" dxfId="2442" priority="1716">
      <formula>G142&gt;F142</formula>
    </cfRule>
  </conditionalFormatting>
  <conditionalFormatting sqref="J142:K144">
    <cfRule type="expression" dxfId="2441" priority="1720">
      <formula>$AD142=4</formula>
    </cfRule>
    <cfRule type="expression" dxfId="2440" priority="1721">
      <formula>$AD142=3</formula>
    </cfRule>
    <cfRule type="expression" dxfId="2439" priority="1722">
      <formula>$AD142=2</formula>
    </cfRule>
    <cfRule type="expression" dxfId="2438" priority="1723">
      <formula>$AD142=1</formula>
    </cfRule>
  </conditionalFormatting>
  <conditionalFormatting sqref="J142:K144">
    <cfRule type="expression" dxfId="2437" priority="1719">
      <formula>$AC142=2</formula>
    </cfRule>
  </conditionalFormatting>
  <conditionalFormatting sqref="L142:L144">
    <cfRule type="expression" dxfId="2436" priority="1718">
      <formula>$AC142=2</formula>
    </cfRule>
  </conditionalFormatting>
  <conditionalFormatting sqref="G142:G144">
    <cfRule type="expression" dxfId="2435" priority="1717">
      <formula>$AC142=2</formula>
    </cfRule>
  </conditionalFormatting>
  <conditionalFormatting sqref="O142:O144">
    <cfRule type="expression" dxfId="2434" priority="1715">
      <formula>$AC142=2</formula>
    </cfRule>
  </conditionalFormatting>
  <conditionalFormatting sqref="V142:V144">
    <cfRule type="expression" dxfId="2433" priority="1714">
      <formula>$AC142=2</formula>
    </cfRule>
  </conditionalFormatting>
  <conditionalFormatting sqref="U142:U144">
    <cfRule type="expression" dxfId="2432" priority="1713">
      <formula>$AC142=2</formula>
    </cfRule>
  </conditionalFormatting>
  <conditionalFormatting sqref="U142:U144">
    <cfRule type="expression" dxfId="2431" priority="1712">
      <formula>U142&gt;F142</formula>
    </cfRule>
  </conditionalFormatting>
  <conditionalFormatting sqref="Q150:R152">
    <cfRule type="expression" dxfId="2430" priority="1706">
      <formula>$AE150=4</formula>
    </cfRule>
    <cfRule type="expression" dxfId="2429" priority="1707">
      <formula>$AE150=3</formula>
    </cfRule>
    <cfRule type="expression" dxfId="2428" priority="1708">
      <formula>$AE150=2</formula>
    </cfRule>
    <cfRule type="expression" dxfId="2427" priority="1709">
      <formula>$AE150=1</formula>
    </cfRule>
  </conditionalFormatting>
  <conditionalFormatting sqref="X150:Y152">
    <cfRule type="expression" dxfId="2426" priority="1702">
      <formula>$AF150=4</formula>
    </cfRule>
    <cfRule type="expression" dxfId="2425" priority="1703">
      <formula>$AF150=3</formula>
    </cfRule>
    <cfRule type="expression" dxfId="2424" priority="1704">
      <formula>$AF150=2</formula>
    </cfRule>
    <cfRule type="expression" dxfId="2423" priority="1705">
      <formula>$AF150=1</formula>
    </cfRule>
  </conditionalFormatting>
  <conditionalFormatting sqref="N151:N152">
    <cfRule type="expression" dxfId="2422" priority="1701">
      <formula>$AC151=2</formula>
    </cfRule>
  </conditionalFormatting>
  <conditionalFormatting sqref="N151:N152">
    <cfRule type="expression" dxfId="2421" priority="1700">
      <formula>N151&gt;F151</formula>
    </cfRule>
  </conditionalFormatting>
  <conditionalFormatting sqref="G151:G152">
    <cfRule type="expression" dxfId="2420" priority="1687">
      <formula>G151&gt;F151</formula>
    </cfRule>
  </conditionalFormatting>
  <conditionalFormatting sqref="J150:K152">
    <cfRule type="expression" dxfId="2419" priority="1691">
      <formula>$AD150=4</formula>
    </cfRule>
    <cfRule type="expression" dxfId="2418" priority="1692">
      <formula>$AD150=3</formula>
    </cfRule>
    <cfRule type="expression" dxfId="2417" priority="1693">
      <formula>$AD150=2</formula>
    </cfRule>
    <cfRule type="expression" dxfId="2416" priority="1694">
      <formula>$AD150=1</formula>
    </cfRule>
  </conditionalFormatting>
  <conditionalFormatting sqref="J150:K152">
    <cfRule type="expression" dxfId="2415" priority="1690">
      <formula>$AC150=2</formula>
    </cfRule>
  </conditionalFormatting>
  <conditionalFormatting sqref="L150:L153">
    <cfRule type="expression" dxfId="2414" priority="1689">
      <formula>$AC150=2</formula>
    </cfRule>
  </conditionalFormatting>
  <conditionalFormatting sqref="G151:G152">
    <cfRule type="expression" dxfId="2413" priority="1688">
      <formula>$AC151=2</formula>
    </cfRule>
  </conditionalFormatting>
  <conditionalFormatting sqref="O150:O152">
    <cfRule type="expression" dxfId="2412" priority="1686">
      <formula>$AC150=2</formula>
    </cfRule>
  </conditionalFormatting>
  <conditionalFormatting sqref="V150:V152">
    <cfRule type="expression" dxfId="2411" priority="1685">
      <formula>$AC150=2</formula>
    </cfRule>
  </conditionalFormatting>
  <conditionalFormatting sqref="U151:U152">
    <cfRule type="expression" dxfId="2410" priority="1684">
      <formula>$AC151=2</formula>
    </cfRule>
  </conditionalFormatting>
  <conditionalFormatting sqref="U151:U152">
    <cfRule type="expression" dxfId="2409" priority="1683">
      <formula>U151&gt;F151</formula>
    </cfRule>
  </conditionalFormatting>
  <conditionalFormatting sqref="Q155:R155">
    <cfRule type="expression" dxfId="2408" priority="1677">
      <formula>$AE155=4</formula>
    </cfRule>
    <cfRule type="expression" dxfId="2407" priority="1678">
      <formula>$AE155=3</formula>
    </cfRule>
    <cfRule type="expression" dxfId="2406" priority="1679">
      <formula>$AE155=2</formula>
    </cfRule>
    <cfRule type="expression" dxfId="2405" priority="1680">
      <formula>$AE155=1</formula>
    </cfRule>
  </conditionalFormatting>
  <conditionalFormatting sqref="X155:Y155">
    <cfRule type="expression" dxfId="2404" priority="1673">
      <formula>$AF155=4</formula>
    </cfRule>
    <cfRule type="expression" dxfId="2403" priority="1674">
      <formula>$AF155=3</formula>
    </cfRule>
    <cfRule type="expression" dxfId="2402" priority="1675">
      <formula>$AF155=2</formula>
    </cfRule>
    <cfRule type="expression" dxfId="2401" priority="1676">
      <formula>$AF155=1</formula>
    </cfRule>
  </conditionalFormatting>
  <conditionalFormatting sqref="N155">
    <cfRule type="expression" dxfId="2400" priority="1672">
      <formula>$AC155=2</formula>
    </cfRule>
  </conditionalFormatting>
  <conditionalFormatting sqref="N155">
    <cfRule type="expression" dxfId="2399" priority="1671">
      <formula>N155&gt;F155</formula>
    </cfRule>
  </conditionalFormatting>
  <conditionalFormatting sqref="G155">
    <cfRule type="expression" dxfId="2398" priority="1658">
      <formula>G155&gt;F155</formula>
    </cfRule>
  </conditionalFormatting>
  <conditionalFormatting sqref="J155:K155">
    <cfRule type="expression" dxfId="2397" priority="1662">
      <formula>$AD155=4</formula>
    </cfRule>
    <cfRule type="expression" dxfId="2396" priority="1663">
      <formula>$AD155=3</formula>
    </cfRule>
    <cfRule type="expression" dxfId="2395" priority="1664">
      <formula>$AD155=2</formula>
    </cfRule>
    <cfRule type="expression" dxfId="2394" priority="1665">
      <formula>$AD155=1</formula>
    </cfRule>
  </conditionalFormatting>
  <conditionalFormatting sqref="J155:K155">
    <cfRule type="expression" dxfId="2393" priority="1661">
      <formula>$AC155=2</formula>
    </cfRule>
  </conditionalFormatting>
  <conditionalFormatting sqref="L155">
    <cfRule type="expression" dxfId="2392" priority="1660">
      <formula>$AC155=2</formula>
    </cfRule>
  </conditionalFormatting>
  <conditionalFormatting sqref="G155">
    <cfRule type="expression" dxfId="2391" priority="1659">
      <formula>$AC155=2</formula>
    </cfRule>
  </conditionalFormatting>
  <conditionalFormatting sqref="O155">
    <cfRule type="expression" dxfId="2390" priority="1657">
      <formula>$AC155=2</formula>
    </cfRule>
  </conditionalFormatting>
  <conditionalFormatting sqref="V155">
    <cfRule type="expression" dxfId="2389" priority="1656">
      <formula>$AC155=2</formula>
    </cfRule>
  </conditionalFormatting>
  <conditionalFormatting sqref="U155">
    <cfRule type="expression" dxfId="2388" priority="1655">
      <formula>$AC155=2</formula>
    </cfRule>
  </conditionalFormatting>
  <conditionalFormatting sqref="U155">
    <cfRule type="expression" dxfId="2387" priority="1654">
      <formula>U155&gt;F155</formula>
    </cfRule>
  </conditionalFormatting>
  <conditionalFormatting sqref="Q157:R157">
    <cfRule type="expression" dxfId="2386" priority="1648">
      <formula>$AE157=4</formula>
    </cfRule>
    <cfRule type="expression" dxfId="2385" priority="1649">
      <formula>$AE157=3</formula>
    </cfRule>
    <cfRule type="expression" dxfId="2384" priority="1650">
      <formula>$AE157=2</formula>
    </cfRule>
    <cfRule type="expression" dxfId="2383" priority="1651">
      <formula>$AE157=1</formula>
    </cfRule>
  </conditionalFormatting>
  <conditionalFormatting sqref="X157:Y157">
    <cfRule type="expression" dxfId="2382" priority="1644">
      <formula>$AF157=4</formula>
    </cfRule>
    <cfRule type="expression" dxfId="2381" priority="1645">
      <formula>$AF157=3</formula>
    </cfRule>
    <cfRule type="expression" dxfId="2380" priority="1646">
      <formula>$AF157=2</formula>
    </cfRule>
    <cfRule type="expression" dxfId="2379" priority="1647">
      <formula>$AF157=1</formula>
    </cfRule>
  </conditionalFormatting>
  <conditionalFormatting sqref="N157">
    <cfRule type="expression" dxfId="2378" priority="1643">
      <formula>$AC157=2</formula>
    </cfRule>
  </conditionalFormatting>
  <conditionalFormatting sqref="N157">
    <cfRule type="expression" dxfId="2377" priority="1642">
      <formula>N157&gt;F157</formula>
    </cfRule>
  </conditionalFormatting>
  <conditionalFormatting sqref="G157">
    <cfRule type="expression" dxfId="2376" priority="1629">
      <formula>G157&gt;F157</formula>
    </cfRule>
  </conditionalFormatting>
  <conditionalFormatting sqref="J157:K157">
    <cfRule type="expression" dxfId="2375" priority="1633">
      <formula>$AD157=4</formula>
    </cfRule>
    <cfRule type="expression" dxfId="2374" priority="1634">
      <formula>$AD157=3</formula>
    </cfRule>
    <cfRule type="expression" dxfId="2373" priority="1635">
      <formula>$AD157=2</formula>
    </cfRule>
    <cfRule type="expression" dxfId="2372" priority="1636">
      <formula>$AD157=1</formula>
    </cfRule>
  </conditionalFormatting>
  <conditionalFormatting sqref="J157:K157">
    <cfRule type="expression" dxfId="2371" priority="1632">
      <formula>$AC157=2</formula>
    </cfRule>
  </conditionalFormatting>
  <conditionalFormatting sqref="L157">
    <cfRule type="expression" dxfId="2370" priority="1631">
      <formula>$AC157=2</formula>
    </cfRule>
  </conditionalFormatting>
  <conditionalFormatting sqref="G157">
    <cfRule type="expression" dxfId="2369" priority="1630">
      <formula>$AC157=2</formula>
    </cfRule>
  </conditionalFormatting>
  <conditionalFormatting sqref="O157">
    <cfRule type="expression" dxfId="2368" priority="1628">
      <formula>$AC157=2</formula>
    </cfRule>
  </conditionalFormatting>
  <conditionalFormatting sqref="V157">
    <cfRule type="expression" dxfId="2367" priority="1627">
      <formula>$AC157=2</formula>
    </cfRule>
  </conditionalFormatting>
  <conditionalFormatting sqref="U157">
    <cfRule type="expression" dxfId="2366" priority="1626">
      <formula>$AC157=2</formula>
    </cfRule>
  </conditionalFormatting>
  <conditionalFormatting sqref="U157">
    <cfRule type="expression" dxfId="2365" priority="1625">
      <formula>U157&gt;F157</formula>
    </cfRule>
  </conditionalFormatting>
  <conditionalFormatting sqref="Q159:R159">
    <cfRule type="expression" dxfId="2364" priority="1619">
      <formula>$AE159=4</formula>
    </cfRule>
    <cfRule type="expression" dxfId="2363" priority="1620">
      <formula>$AE159=3</formula>
    </cfRule>
    <cfRule type="expression" dxfId="2362" priority="1621">
      <formula>$AE159=2</formula>
    </cfRule>
    <cfRule type="expression" dxfId="2361" priority="1622">
      <formula>$AE159=1</formula>
    </cfRule>
  </conditionalFormatting>
  <conditionalFormatting sqref="X159:Y159">
    <cfRule type="expression" dxfId="2360" priority="1615">
      <formula>$AF159=4</formula>
    </cfRule>
    <cfRule type="expression" dxfId="2359" priority="1616">
      <formula>$AF159=3</formula>
    </cfRule>
    <cfRule type="expression" dxfId="2358" priority="1617">
      <formula>$AF159=2</formula>
    </cfRule>
    <cfRule type="expression" dxfId="2357" priority="1618">
      <formula>$AF159=1</formula>
    </cfRule>
  </conditionalFormatting>
  <conditionalFormatting sqref="N159">
    <cfRule type="expression" dxfId="2356" priority="1614">
      <formula>$AC159=2</formula>
    </cfRule>
  </conditionalFormatting>
  <conditionalFormatting sqref="N159">
    <cfRule type="expression" dxfId="2355" priority="1613">
      <formula>N159&gt;F159</formula>
    </cfRule>
  </conditionalFormatting>
  <conditionalFormatting sqref="G159">
    <cfRule type="expression" dxfId="2354" priority="1600">
      <formula>G159&gt;F159</formula>
    </cfRule>
  </conditionalFormatting>
  <conditionalFormatting sqref="J159:K159">
    <cfRule type="expression" dxfId="2353" priority="1604">
      <formula>$AD159=4</formula>
    </cfRule>
    <cfRule type="expression" dxfId="2352" priority="1605">
      <formula>$AD159=3</formula>
    </cfRule>
    <cfRule type="expression" dxfId="2351" priority="1606">
      <formula>$AD159=2</formula>
    </cfRule>
    <cfRule type="expression" dxfId="2350" priority="1607">
      <formula>$AD159=1</formula>
    </cfRule>
  </conditionalFormatting>
  <conditionalFormatting sqref="J159:K159">
    <cfRule type="expression" dxfId="2349" priority="1603">
      <formula>$AC159=2</formula>
    </cfRule>
  </conditionalFormatting>
  <conditionalFormatting sqref="L159">
    <cfRule type="expression" dxfId="2348" priority="1602">
      <formula>$AC159=2</formula>
    </cfRule>
  </conditionalFormatting>
  <conditionalFormatting sqref="G159">
    <cfRule type="expression" dxfId="2347" priority="1601">
      <formula>$AC159=2</formula>
    </cfRule>
  </conditionalFormatting>
  <conditionalFormatting sqref="O159">
    <cfRule type="expression" dxfId="2346" priority="1599">
      <formula>$AC159=2</formula>
    </cfRule>
  </conditionalFormatting>
  <conditionalFormatting sqref="V159">
    <cfRule type="expression" dxfId="2345" priority="1598">
      <formula>$AC159=2</formula>
    </cfRule>
  </conditionalFormatting>
  <conditionalFormatting sqref="U159">
    <cfRule type="expression" dxfId="2344" priority="1597">
      <formula>$AC159=2</formula>
    </cfRule>
  </conditionalFormatting>
  <conditionalFormatting sqref="U159">
    <cfRule type="expression" dxfId="2343" priority="1596">
      <formula>U159&gt;F159</formula>
    </cfRule>
  </conditionalFormatting>
  <conditionalFormatting sqref="Q164:R164 R165">
    <cfRule type="expression" dxfId="2342" priority="1590">
      <formula>$AE164=4</formula>
    </cfRule>
    <cfRule type="expression" dxfId="2341" priority="1591">
      <formula>$AE164=3</formula>
    </cfRule>
    <cfRule type="expression" dxfId="2340" priority="1592">
      <formula>$AE164=2</formula>
    </cfRule>
    <cfRule type="expression" dxfId="2339" priority="1593">
      <formula>$AE164=1</formula>
    </cfRule>
  </conditionalFormatting>
  <conditionalFormatting sqref="X164:Y164">
    <cfRule type="expression" dxfId="2338" priority="1586">
      <formula>$AF164=4</formula>
    </cfRule>
    <cfRule type="expression" dxfId="2337" priority="1587">
      <formula>$AF164=3</formula>
    </cfRule>
    <cfRule type="expression" dxfId="2336" priority="1588">
      <formula>$AF164=2</formula>
    </cfRule>
    <cfRule type="expression" dxfId="2335" priority="1589">
      <formula>$AF164=1</formula>
    </cfRule>
  </conditionalFormatting>
  <conditionalFormatting sqref="N164">
    <cfRule type="expression" dxfId="2334" priority="1585">
      <formula>$AC164=2</formula>
    </cfRule>
  </conditionalFormatting>
  <conditionalFormatting sqref="N164">
    <cfRule type="expression" dxfId="2333" priority="1584">
      <formula>N164&gt;F164</formula>
    </cfRule>
  </conditionalFormatting>
  <conditionalFormatting sqref="G164">
    <cfRule type="expression" dxfId="2332" priority="1571">
      <formula>G164&gt;F164</formula>
    </cfRule>
  </conditionalFormatting>
  <conditionalFormatting sqref="J164:K164 K165">
    <cfRule type="expression" dxfId="2331" priority="1575">
      <formula>$AD164=4</formula>
    </cfRule>
    <cfRule type="expression" dxfId="2330" priority="1576">
      <formula>$AD164=3</formula>
    </cfRule>
    <cfRule type="expression" dxfId="2329" priority="1577">
      <formula>$AD164=2</formula>
    </cfRule>
    <cfRule type="expression" dxfId="2328" priority="1578">
      <formula>$AD164=1</formula>
    </cfRule>
  </conditionalFormatting>
  <conditionalFormatting sqref="J164:K164 K165">
    <cfRule type="expression" dxfId="2327" priority="1574">
      <formula>$AC164=2</formula>
    </cfRule>
  </conditionalFormatting>
  <conditionalFormatting sqref="L164:L165">
    <cfRule type="expression" dxfId="2326" priority="1573">
      <formula>$AC164=2</formula>
    </cfRule>
  </conditionalFormatting>
  <conditionalFormatting sqref="G164">
    <cfRule type="expression" dxfId="2325" priority="1572">
      <formula>$AC164=2</formula>
    </cfRule>
  </conditionalFormatting>
  <conditionalFormatting sqref="O164">
    <cfRule type="expression" dxfId="2324" priority="1570">
      <formula>$AC164=2</formula>
    </cfRule>
  </conditionalFormatting>
  <conditionalFormatting sqref="V164">
    <cfRule type="expression" dxfId="2323" priority="1569">
      <formula>$AC164=2</formula>
    </cfRule>
  </conditionalFormatting>
  <conditionalFormatting sqref="U164">
    <cfRule type="expression" dxfId="2322" priority="1568">
      <formula>$AC164=2</formula>
    </cfRule>
  </conditionalFormatting>
  <conditionalFormatting sqref="U164">
    <cfRule type="expression" dxfId="2321" priority="1567">
      <formula>U164&gt;F164</formula>
    </cfRule>
  </conditionalFormatting>
  <conditionalFormatting sqref="Q167:R169">
    <cfRule type="expression" dxfId="2320" priority="1561">
      <formula>$AE167=4</formula>
    </cfRule>
    <cfRule type="expression" dxfId="2319" priority="1562">
      <formula>$AE167=3</formula>
    </cfRule>
    <cfRule type="expression" dxfId="2318" priority="1563">
      <formula>$AE167=2</formula>
    </cfRule>
    <cfRule type="expression" dxfId="2317" priority="1564">
      <formula>$AE167=1</formula>
    </cfRule>
  </conditionalFormatting>
  <conditionalFormatting sqref="X167:Y169">
    <cfRule type="expression" dxfId="2316" priority="1557">
      <formula>$AF167=4</formula>
    </cfRule>
    <cfRule type="expression" dxfId="2315" priority="1558">
      <formula>$AF167=3</formula>
    </cfRule>
    <cfRule type="expression" dxfId="2314" priority="1559">
      <formula>$AF167=2</formula>
    </cfRule>
    <cfRule type="expression" dxfId="2313" priority="1560">
      <formula>$AF167=1</formula>
    </cfRule>
  </conditionalFormatting>
  <conditionalFormatting sqref="N168:N169">
    <cfRule type="expression" dxfId="2312" priority="1556">
      <formula>$AC168=2</formula>
    </cfRule>
  </conditionalFormatting>
  <conditionalFormatting sqref="N168:N169">
    <cfRule type="expression" dxfId="2311" priority="1555">
      <formula>N168&gt;F168</formula>
    </cfRule>
  </conditionalFormatting>
  <conditionalFormatting sqref="G168:G169">
    <cfRule type="expression" dxfId="2310" priority="1542">
      <formula>G168&gt;F168</formula>
    </cfRule>
  </conditionalFormatting>
  <conditionalFormatting sqref="J167:K169">
    <cfRule type="expression" dxfId="2309" priority="1546">
      <formula>$AD167=4</formula>
    </cfRule>
    <cfRule type="expression" dxfId="2308" priority="1547">
      <formula>$AD167=3</formula>
    </cfRule>
    <cfRule type="expression" dxfId="2307" priority="1548">
      <formula>$AD167=2</formula>
    </cfRule>
    <cfRule type="expression" dxfId="2306" priority="1549">
      <formula>$AD167=1</formula>
    </cfRule>
  </conditionalFormatting>
  <conditionalFormatting sqref="J167:K169">
    <cfRule type="expression" dxfId="2305" priority="1545">
      <formula>$AC167=2</formula>
    </cfRule>
  </conditionalFormatting>
  <conditionalFormatting sqref="L167:L169">
    <cfRule type="expression" dxfId="2304" priority="1544">
      <formula>$AC167=2</formula>
    </cfRule>
  </conditionalFormatting>
  <conditionalFormatting sqref="G168:G169">
    <cfRule type="expression" dxfId="2303" priority="1543">
      <formula>$AC168=2</formula>
    </cfRule>
  </conditionalFormatting>
  <conditionalFormatting sqref="O167:O169">
    <cfRule type="expression" dxfId="2302" priority="1541">
      <formula>$AC167=2</formula>
    </cfRule>
  </conditionalFormatting>
  <conditionalFormatting sqref="V167:V169">
    <cfRule type="expression" dxfId="2301" priority="1540">
      <formula>$AC167=2</formula>
    </cfRule>
  </conditionalFormatting>
  <conditionalFormatting sqref="U168:U169">
    <cfRule type="expression" dxfId="2300" priority="1539">
      <formula>$AC168=2</formula>
    </cfRule>
  </conditionalFormatting>
  <conditionalFormatting sqref="U168:U169">
    <cfRule type="expression" dxfId="2299" priority="1538">
      <formula>U168&gt;F168</formula>
    </cfRule>
  </conditionalFormatting>
  <conditionalFormatting sqref="N171:N172">
    <cfRule type="expression" dxfId="2298" priority="1527">
      <formula>$AC171=2</formula>
    </cfRule>
  </conditionalFormatting>
  <conditionalFormatting sqref="N171:N172">
    <cfRule type="expression" dxfId="2297" priority="1526">
      <formula>N171&gt;F171</formula>
    </cfRule>
  </conditionalFormatting>
  <conditionalFormatting sqref="G171:G172">
    <cfRule type="expression" dxfId="2296" priority="1513">
      <formula>G171&gt;F171</formula>
    </cfRule>
  </conditionalFormatting>
  <conditionalFormatting sqref="G171:G172">
    <cfRule type="expression" dxfId="2295" priority="1514">
      <formula>$AC171=2</formula>
    </cfRule>
  </conditionalFormatting>
  <conditionalFormatting sqref="U171:U172">
    <cfRule type="expression" dxfId="2294" priority="1510">
      <formula>$AC171=2</formula>
    </cfRule>
  </conditionalFormatting>
  <conditionalFormatting sqref="U171:U172">
    <cfRule type="expression" dxfId="2293" priority="1509">
      <formula>U171&gt;F171</formula>
    </cfRule>
  </conditionalFormatting>
  <conditionalFormatting sqref="Q174:R176">
    <cfRule type="expression" dxfId="2292" priority="1503">
      <formula>$AE174=4</formula>
    </cfRule>
    <cfRule type="expression" dxfId="2291" priority="1504">
      <formula>$AE174=3</formula>
    </cfRule>
    <cfRule type="expression" dxfId="2290" priority="1505">
      <formula>$AE174=2</formula>
    </cfRule>
    <cfRule type="expression" dxfId="2289" priority="1506">
      <formula>$AE174=1</formula>
    </cfRule>
  </conditionalFormatting>
  <conditionalFormatting sqref="X174:Y176">
    <cfRule type="expression" dxfId="2288" priority="1499">
      <formula>$AF174=4</formula>
    </cfRule>
    <cfRule type="expression" dxfId="2287" priority="1500">
      <formula>$AF174=3</formula>
    </cfRule>
    <cfRule type="expression" dxfId="2286" priority="1501">
      <formula>$AF174=2</formula>
    </cfRule>
    <cfRule type="expression" dxfId="2285" priority="1502">
      <formula>$AF174=1</formula>
    </cfRule>
  </conditionalFormatting>
  <conditionalFormatting sqref="N175:N176">
    <cfRule type="expression" dxfId="2284" priority="1498">
      <formula>$AC175=2</formula>
    </cfRule>
  </conditionalFormatting>
  <conditionalFormatting sqref="N175:N176">
    <cfRule type="expression" dxfId="2283" priority="1497">
      <formula>N175&gt;F175</formula>
    </cfRule>
  </conditionalFormatting>
  <conditionalFormatting sqref="G175:G176">
    <cfRule type="expression" dxfId="2282" priority="1484">
      <formula>G175&gt;F175</formula>
    </cfRule>
  </conditionalFormatting>
  <conditionalFormatting sqref="J174:K176">
    <cfRule type="expression" dxfId="2281" priority="1488">
      <formula>$AD174=4</formula>
    </cfRule>
    <cfRule type="expression" dxfId="2280" priority="1489">
      <formula>$AD174=3</formula>
    </cfRule>
    <cfRule type="expression" dxfId="2279" priority="1490">
      <formula>$AD174=2</formula>
    </cfRule>
    <cfRule type="expression" dxfId="2278" priority="1491">
      <formula>$AD174=1</formula>
    </cfRule>
  </conditionalFormatting>
  <conditionalFormatting sqref="J174:K176">
    <cfRule type="expression" dxfId="2277" priority="1487">
      <formula>$AC174=2</formula>
    </cfRule>
  </conditionalFormatting>
  <conditionalFormatting sqref="L174:L176">
    <cfRule type="expression" dxfId="2276" priority="1486">
      <formula>$AC174=2</formula>
    </cfRule>
  </conditionalFormatting>
  <conditionalFormatting sqref="G175:G176">
    <cfRule type="expression" dxfId="2275" priority="1485">
      <formula>$AC175=2</formula>
    </cfRule>
  </conditionalFormatting>
  <conditionalFormatting sqref="O174:O176">
    <cfRule type="expression" dxfId="2274" priority="1483">
      <formula>$AC174=2</formula>
    </cfRule>
  </conditionalFormatting>
  <conditionalFormatting sqref="V174:V176">
    <cfRule type="expression" dxfId="2273" priority="1482">
      <formula>$AC174=2</formula>
    </cfRule>
  </conditionalFormatting>
  <conditionalFormatting sqref="U175:U176">
    <cfRule type="expression" dxfId="2272" priority="1481">
      <formula>$AC175=2</formula>
    </cfRule>
  </conditionalFormatting>
  <conditionalFormatting sqref="U175:U176">
    <cfRule type="expression" dxfId="2271" priority="1480">
      <formula>U175&gt;F175</formula>
    </cfRule>
  </conditionalFormatting>
  <conditionalFormatting sqref="Q178:R180">
    <cfRule type="expression" dxfId="2270" priority="1474">
      <formula>$AE178=4</formula>
    </cfRule>
    <cfRule type="expression" dxfId="2269" priority="1475">
      <formula>$AE178=3</formula>
    </cfRule>
    <cfRule type="expression" dxfId="2268" priority="1476">
      <formula>$AE178=2</formula>
    </cfRule>
    <cfRule type="expression" dxfId="2267" priority="1477">
      <formula>$AE178=1</formula>
    </cfRule>
  </conditionalFormatting>
  <conditionalFormatting sqref="X178:Y180">
    <cfRule type="expression" dxfId="2266" priority="1470">
      <formula>$AF178=4</formula>
    </cfRule>
    <cfRule type="expression" dxfId="2265" priority="1471">
      <formula>$AF178=3</formula>
    </cfRule>
    <cfRule type="expression" dxfId="2264" priority="1472">
      <formula>$AF178=2</formula>
    </cfRule>
    <cfRule type="expression" dxfId="2263" priority="1473">
      <formula>$AF178=1</formula>
    </cfRule>
  </conditionalFormatting>
  <conditionalFormatting sqref="N179:N180">
    <cfRule type="expression" dxfId="2262" priority="1469">
      <formula>$AC179=2</formula>
    </cfRule>
  </conditionalFormatting>
  <conditionalFormatting sqref="N179:N180">
    <cfRule type="expression" dxfId="2261" priority="1468">
      <formula>N179&gt;F179</formula>
    </cfRule>
  </conditionalFormatting>
  <conditionalFormatting sqref="G179:G180">
    <cfRule type="expression" dxfId="2260" priority="1455">
      <formula>G179&gt;F179</formula>
    </cfRule>
  </conditionalFormatting>
  <conditionalFormatting sqref="J178:K180">
    <cfRule type="expression" dxfId="2259" priority="1459">
      <formula>$AD178=4</formula>
    </cfRule>
    <cfRule type="expression" dxfId="2258" priority="1460">
      <formula>$AD178=3</formula>
    </cfRule>
    <cfRule type="expression" dxfId="2257" priority="1461">
      <formula>$AD178=2</formula>
    </cfRule>
    <cfRule type="expression" dxfId="2256" priority="1462">
      <formula>$AD178=1</formula>
    </cfRule>
  </conditionalFormatting>
  <conditionalFormatting sqref="J178:K180">
    <cfRule type="expression" dxfId="2255" priority="1458">
      <formula>$AC178=2</formula>
    </cfRule>
  </conditionalFormatting>
  <conditionalFormatting sqref="L178:L180">
    <cfRule type="expression" dxfId="2254" priority="1457">
      <formula>$AC178=2</formula>
    </cfRule>
  </conditionalFormatting>
  <conditionalFormatting sqref="G179:G180">
    <cfRule type="expression" dxfId="2253" priority="1456">
      <formula>$AC179=2</formula>
    </cfRule>
  </conditionalFormatting>
  <conditionalFormatting sqref="O178:O180">
    <cfRule type="expression" dxfId="2252" priority="1454">
      <formula>$AC178=2</formula>
    </cfRule>
  </conditionalFormatting>
  <conditionalFormatting sqref="V178:V180">
    <cfRule type="expression" dxfId="2251" priority="1453">
      <formula>$AC178=2</formula>
    </cfRule>
  </conditionalFormatting>
  <conditionalFormatting sqref="U179:U180">
    <cfRule type="expression" dxfId="2250" priority="1452">
      <formula>$AC179=2</formula>
    </cfRule>
  </conditionalFormatting>
  <conditionalFormatting sqref="U179:U180">
    <cfRule type="expression" dxfId="2249" priority="1451">
      <formula>U179&gt;F179</formula>
    </cfRule>
  </conditionalFormatting>
  <conditionalFormatting sqref="Q182:R182">
    <cfRule type="expression" dxfId="2248" priority="1445">
      <formula>$AE182=4</formula>
    </cfRule>
    <cfRule type="expression" dxfId="2247" priority="1446">
      <formula>$AE182=3</formula>
    </cfRule>
    <cfRule type="expression" dxfId="2246" priority="1447">
      <formula>$AE182=2</formula>
    </cfRule>
    <cfRule type="expression" dxfId="2245" priority="1448">
      <formula>$AE182=1</formula>
    </cfRule>
  </conditionalFormatting>
  <conditionalFormatting sqref="X182:Y182">
    <cfRule type="expression" dxfId="2244" priority="1441">
      <formula>$AF182=4</formula>
    </cfRule>
    <cfRule type="expression" dxfId="2243" priority="1442">
      <formula>$AF182=3</formula>
    </cfRule>
    <cfRule type="expression" dxfId="2242" priority="1443">
      <formula>$AF182=2</formula>
    </cfRule>
    <cfRule type="expression" dxfId="2241" priority="1444">
      <formula>$AF182=1</formula>
    </cfRule>
  </conditionalFormatting>
  <conditionalFormatting sqref="N182">
    <cfRule type="expression" dxfId="2240" priority="1440">
      <formula>$AC182=2</formula>
    </cfRule>
  </conditionalFormatting>
  <conditionalFormatting sqref="N182">
    <cfRule type="expression" dxfId="2239" priority="1439">
      <formula>N182&gt;F182</formula>
    </cfRule>
  </conditionalFormatting>
  <conditionalFormatting sqref="G182">
    <cfRule type="expression" dxfId="2238" priority="1426">
      <formula>G182&gt;F182</formula>
    </cfRule>
  </conditionalFormatting>
  <conditionalFormatting sqref="J182:K182">
    <cfRule type="expression" dxfId="2237" priority="1430">
      <formula>$AD182=4</formula>
    </cfRule>
    <cfRule type="expression" dxfId="2236" priority="1431">
      <formula>$AD182=3</formula>
    </cfRule>
    <cfRule type="expression" dxfId="2235" priority="1432">
      <formula>$AD182=2</formula>
    </cfRule>
    <cfRule type="expression" dxfId="2234" priority="1433">
      <formula>$AD182=1</formula>
    </cfRule>
  </conditionalFormatting>
  <conditionalFormatting sqref="J182:K182">
    <cfRule type="expression" dxfId="2233" priority="1429">
      <formula>$AC182=2</formula>
    </cfRule>
  </conditionalFormatting>
  <conditionalFormatting sqref="L182">
    <cfRule type="expression" dxfId="2232" priority="1428">
      <formula>$AC182=2</formula>
    </cfRule>
  </conditionalFormatting>
  <conditionalFormatting sqref="G182">
    <cfRule type="expression" dxfId="2231" priority="1427">
      <formula>$AC182=2</formula>
    </cfRule>
  </conditionalFormatting>
  <conditionalFormatting sqref="O182">
    <cfRule type="expression" dxfId="2230" priority="1425">
      <formula>$AC182=2</formula>
    </cfRule>
  </conditionalFormatting>
  <conditionalFormatting sqref="V182">
    <cfRule type="expression" dxfId="2229" priority="1424">
      <formula>$AC182=2</formula>
    </cfRule>
  </conditionalFormatting>
  <conditionalFormatting sqref="U182">
    <cfRule type="expression" dxfId="2228" priority="1423">
      <formula>$AC182=2</formula>
    </cfRule>
  </conditionalFormatting>
  <conditionalFormatting sqref="U182">
    <cfRule type="expression" dxfId="2227" priority="1422">
      <formula>U182&gt;F182</formula>
    </cfRule>
  </conditionalFormatting>
  <conditionalFormatting sqref="Q184:R185">
    <cfRule type="expression" dxfId="2226" priority="1416">
      <formula>$AE184=4</formula>
    </cfRule>
    <cfRule type="expression" dxfId="2225" priority="1417">
      <formula>$AE184=3</formula>
    </cfRule>
    <cfRule type="expression" dxfId="2224" priority="1418">
      <formula>$AE184=2</formula>
    </cfRule>
    <cfRule type="expression" dxfId="2223" priority="1419">
      <formula>$AE184=1</formula>
    </cfRule>
  </conditionalFormatting>
  <conditionalFormatting sqref="X184:Y185">
    <cfRule type="expression" dxfId="2222" priority="1412">
      <formula>$AF184=4</formula>
    </cfRule>
    <cfRule type="expression" dxfId="2221" priority="1413">
      <formula>$AF184=3</formula>
    </cfRule>
    <cfRule type="expression" dxfId="2220" priority="1414">
      <formula>$AF184=2</formula>
    </cfRule>
    <cfRule type="expression" dxfId="2219" priority="1415">
      <formula>$AF184=1</formula>
    </cfRule>
  </conditionalFormatting>
  <conditionalFormatting sqref="N185">
    <cfRule type="expression" dxfId="2218" priority="1411">
      <formula>$AC185=2</formula>
    </cfRule>
  </conditionalFormatting>
  <conditionalFormatting sqref="N185">
    <cfRule type="expression" dxfId="2217" priority="1410">
      <formula>N185&gt;F185</formula>
    </cfRule>
  </conditionalFormatting>
  <conditionalFormatting sqref="G185">
    <cfRule type="expression" dxfId="2216" priority="1397">
      <formula>G185&gt;F185</formula>
    </cfRule>
  </conditionalFormatting>
  <conditionalFormatting sqref="J184:K185">
    <cfRule type="expression" dxfId="2215" priority="1401">
      <formula>$AD184=4</formula>
    </cfRule>
    <cfRule type="expression" dxfId="2214" priority="1402">
      <formula>$AD184=3</formula>
    </cfRule>
    <cfRule type="expression" dxfId="2213" priority="1403">
      <formula>$AD184=2</formula>
    </cfRule>
    <cfRule type="expression" dxfId="2212" priority="1404">
      <formula>$AD184=1</formula>
    </cfRule>
  </conditionalFormatting>
  <conditionalFormatting sqref="J184:K185">
    <cfRule type="expression" dxfId="2211" priority="1400">
      <formula>$AC184=2</formula>
    </cfRule>
  </conditionalFormatting>
  <conditionalFormatting sqref="L184:L185">
    <cfRule type="expression" dxfId="2210" priority="1399">
      <formula>$AC184=2</formula>
    </cfRule>
  </conditionalFormatting>
  <conditionalFormatting sqref="G185">
    <cfRule type="expression" dxfId="2209" priority="1398">
      <formula>$AC185=2</formula>
    </cfRule>
  </conditionalFormatting>
  <conditionalFormatting sqref="O184:O185">
    <cfRule type="expression" dxfId="2208" priority="1396">
      <formula>$AC184=2</formula>
    </cfRule>
  </conditionalFormatting>
  <conditionalFormatting sqref="V184:V185">
    <cfRule type="expression" dxfId="2207" priority="1395">
      <formula>$AC184=2</formula>
    </cfRule>
  </conditionalFormatting>
  <conditionalFormatting sqref="U185">
    <cfRule type="expression" dxfId="2206" priority="1394">
      <formula>$AC185=2</formula>
    </cfRule>
  </conditionalFormatting>
  <conditionalFormatting sqref="U185">
    <cfRule type="expression" dxfId="2205" priority="1393">
      <formula>U185&gt;F185</formula>
    </cfRule>
  </conditionalFormatting>
  <conditionalFormatting sqref="Q187:R190">
    <cfRule type="expression" dxfId="2204" priority="1387">
      <formula>$AE187=4</formula>
    </cfRule>
    <cfRule type="expression" dxfId="2203" priority="1388">
      <formula>$AE187=3</formula>
    </cfRule>
    <cfRule type="expression" dxfId="2202" priority="1389">
      <formula>$AE187=2</formula>
    </cfRule>
    <cfRule type="expression" dxfId="2201" priority="1390">
      <formula>$AE187=1</formula>
    </cfRule>
  </conditionalFormatting>
  <conditionalFormatting sqref="X187:Y190">
    <cfRule type="expression" dxfId="2200" priority="1383">
      <formula>$AF187=4</formula>
    </cfRule>
    <cfRule type="expression" dxfId="2199" priority="1384">
      <formula>$AF187=3</formula>
    </cfRule>
    <cfRule type="expression" dxfId="2198" priority="1385">
      <formula>$AF187=2</formula>
    </cfRule>
    <cfRule type="expression" dxfId="2197" priority="1386">
      <formula>$AF187=1</formula>
    </cfRule>
  </conditionalFormatting>
  <conditionalFormatting sqref="N188:N190">
    <cfRule type="expression" dxfId="2196" priority="1382">
      <formula>$AC188=2</formula>
    </cfRule>
  </conditionalFormatting>
  <conditionalFormatting sqref="N188:N190">
    <cfRule type="expression" dxfId="2195" priority="1381">
      <formula>N188&gt;F188</formula>
    </cfRule>
  </conditionalFormatting>
  <conditionalFormatting sqref="G188:G190">
    <cfRule type="expression" dxfId="2194" priority="1368">
      <formula>G188&gt;F188</formula>
    </cfRule>
  </conditionalFormatting>
  <conditionalFormatting sqref="J187:K190">
    <cfRule type="expression" dxfId="2193" priority="1372">
      <formula>$AD187=4</formula>
    </cfRule>
    <cfRule type="expression" dxfId="2192" priority="1373">
      <formula>$AD187=3</formula>
    </cfRule>
    <cfRule type="expression" dxfId="2191" priority="1374">
      <formula>$AD187=2</formula>
    </cfRule>
    <cfRule type="expression" dxfId="2190" priority="1375">
      <formula>$AD187=1</formula>
    </cfRule>
  </conditionalFormatting>
  <conditionalFormatting sqref="J187:K190">
    <cfRule type="expression" dxfId="2189" priority="1371">
      <formula>$AC187=2</formula>
    </cfRule>
  </conditionalFormatting>
  <conditionalFormatting sqref="L187:L190">
    <cfRule type="expression" dxfId="2188" priority="1370">
      <formula>$AC187=2</formula>
    </cfRule>
  </conditionalFormatting>
  <conditionalFormatting sqref="G188:G190">
    <cfRule type="expression" dxfId="2187" priority="1369">
      <formula>$AC188=2</formula>
    </cfRule>
  </conditionalFormatting>
  <conditionalFormatting sqref="O187:O188 O190">
    <cfRule type="expression" dxfId="2186" priority="1367">
      <formula>$AC187=2</formula>
    </cfRule>
  </conditionalFormatting>
  <conditionalFormatting sqref="V187:V188 V190">
    <cfRule type="expression" dxfId="2185" priority="1366">
      <formula>$AC187=2</formula>
    </cfRule>
  </conditionalFormatting>
  <conditionalFormatting sqref="U188:U190">
    <cfRule type="expression" dxfId="2184" priority="1365">
      <formula>$AC188=2</formula>
    </cfRule>
  </conditionalFormatting>
  <conditionalFormatting sqref="U188:U190">
    <cfRule type="expression" dxfId="2183" priority="1364">
      <formula>U188&gt;F188</formula>
    </cfRule>
  </conditionalFormatting>
  <conditionalFormatting sqref="Q200:R201">
    <cfRule type="expression" dxfId="2182" priority="1329">
      <formula>$AE200=4</formula>
    </cfRule>
    <cfRule type="expression" dxfId="2181" priority="1330">
      <formula>$AE200=3</formula>
    </cfRule>
    <cfRule type="expression" dxfId="2180" priority="1331">
      <formula>$AE200=2</formula>
    </cfRule>
    <cfRule type="expression" dxfId="2179" priority="1332">
      <formula>$AE200=1</formula>
    </cfRule>
  </conditionalFormatting>
  <conditionalFormatting sqref="X200:Y201">
    <cfRule type="expression" dxfId="2178" priority="1325">
      <formula>$AF200=4</formula>
    </cfRule>
    <cfRule type="expression" dxfId="2177" priority="1326">
      <formula>$AF200=3</formula>
    </cfRule>
    <cfRule type="expression" dxfId="2176" priority="1327">
      <formula>$AF200=2</formula>
    </cfRule>
    <cfRule type="expression" dxfId="2175" priority="1328">
      <formula>$AF200=1</formula>
    </cfRule>
  </conditionalFormatting>
  <conditionalFormatting sqref="N200:N201">
    <cfRule type="expression" dxfId="2174" priority="1324">
      <formula>$AC200=2</formula>
    </cfRule>
  </conditionalFormatting>
  <conditionalFormatting sqref="N200:N201">
    <cfRule type="expression" dxfId="2173" priority="1323">
      <formula>N200&gt;F200</formula>
    </cfRule>
  </conditionalFormatting>
  <conditionalFormatting sqref="G200:G201">
    <cfRule type="expression" dxfId="2172" priority="1310">
      <formula>G200&gt;F200</formula>
    </cfRule>
  </conditionalFormatting>
  <conditionalFormatting sqref="J200:K201">
    <cfRule type="expression" dxfId="2171" priority="1314">
      <formula>$AD200=4</formula>
    </cfRule>
    <cfRule type="expression" dxfId="2170" priority="1315">
      <formula>$AD200=3</formula>
    </cfRule>
    <cfRule type="expression" dxfId="2169" priority="1316">
      <formula>$AD200=2</formula>
    </cfRule>
    <cfRule type="expression" dxfId="2168" priority="1317">
      <formula>$AD200=1</formula>
    </cfRule>
  </conditionalFormatting>
  <conditionalFormatting sqref="J200:K201">
    <cfRule type="expression" dxfId="2167" priority="1313">
      <formula>$AC200=2</formula>
    </cfRule>
  </conditionalFormatting>
  <conditionalFormatting sqref="L200:L201">
    <cfRule type="expression" dxfId="2166" priority="1312">
      <formula>$AC200=2</formula>
    </cfRule>
  </conditionalFormatting>
  <conditionalFormatting sqref="G200:G201">
    <cfRule type="expression" dxfId="2165" priority="1311">
      <formula>$AC200=2</formula>
    </cfRule>
  </conditionalFormatting>
  <conditionalFormatting sqref="O200:O201">
    <cfRule type="expression" dxfId="2164" priority="1309">
      <formula>$AC200=2</formula>
    </cfRule>
  </conditionalFormatting>
  <conditionalFormatting sqref="V200:V201">
    <cfRule type="expression" dxfId="2163" priority="1308">
      <formula>$AC200=2</formula>
    </cfRule>
  </conditionalFormatting>
  <conditionalFormatting sqref="U200:U201">
    <cfRule type="expression" dxfId="2162" priority="1307">
      <formula>$AC200=2</formula>
    </cfRule>
  </conditionalFormatting>
  <conditionalFormatting sqref="U200:U201">
    <cfRule type="expression" dxfId="2161" priority="1306">
      <formula>U200&gt;F200</formula>
    </cfRule>
  </conditionalFormatting>
  <conditionalFormatting sqref="Q203:R204">
    <cfRule type="expression" dxfId="2160" priority="1300">
      <formula>$AE203=4</formula>
    </cfRule>
    <cfRule type="expression" dxfId="2159" priority="1301">
      <formula>$AE203=3</formula>
    </cfRule>
    <cfRule type="expression" dxfId="2158" priority="1302">
      <formula>$AE203=2</formula>
    </cfRule>
    <cfRule type="expression" dxfId="2157" priority="1303">
      <formula>$AE203=1</formula>
    </cfRule>
  </conditionalFormatting>
  <conditionalFormatting sqref="X203:Y204">
    <cfRule type="expression" dxfId="2156" priority="1296">
      <formula>$AF203=4</formula>
    </cfRule>
    <cfRule type="expression" dxfId="2155" priority="1297">
      <formula>$AF203=3</formula>
    </cfRule>
    <cfRule type="expression" dxfId="2154" priority="1298">
      <formula>$AF203=2</formula>
    </cfRule>
    <cfRule type="expression" dxfId="2153" priority="1299">
      <formula>$AF203=1</formula>
    </cfRule>
  </conditionalFormatting>
  <conditionalFormatting sqref="N203:N204">
    <cfRule type="expression" dxfId="2152" priority="1295">
      <formula>$AC203=2</formula>
    </cfRule>
  </conditionalFormatting>
  <conditionalFormatting sqref="N203:N204">
    <cfRule type="expression" dxfId="2151" priority="1294">
      <formula>N203&gt;F203</formula>
    </cfRule>
  </conditionalFormatting>
  <conditionalFormatting sqref="G203:G204">
    <cfRule type="expression" dxfId="2150" priority="1281">
      <formula>G203&gt;F203</formula>
    </cfRule>
  </conditionalFormatting>
  <conditionalFormatting sqref="J203:K204">
    <cfRule type="expression" dxfId="2149" priority="1285">
      <formula>$AD203=4</formula>
    </cfRule>
    <cfRule type="expression" dxfId="2148" priority="1286">
      <formula>$AD203=3</formula>
    </cfRule>
    <cfRule type="expression" dxfId="2147" priority="1287">
      <formula>$AD203=2</formula>
    </cfRule>
    <cfRule type="expression" dxfId="2146" priority="1288">
      <formula>$AD203=1</formula>
    </cfRule>
  </conditionalFormatting>
  <conditionalFormatting sqref="J203:K204">
    <cfRule type="expression" dxfId="2145" priority="1284">
      <formula>$AC203=2</formula>
    </cfRule>
  </conditionalFormatting>
  <conditionalFormatting sqref="L203:L204">
    <cfRule type="expression" dxfId="2144" priority="1283">
      <formula>$AC203=2</formula>
    </cfRule>
  </conditionalFormatting>
  <conditionalFormatting sqref="G203:G204">
    <cfRule type="expression" dxfId="2143" priority="1282">
      <formula>$AC203=2</formula>
    </cfRule>
  </conditionalFormatting>
  <conditionalFormatting sqref="O203:O204">
    <cfRule type="expression" dxfId="2142" priority="1280">
      <formula>$AC203=2</formula>
    </cfRule>
  </conditionalFormatting>
  <conditionalFormatting sqref="V203:V204">
    <cfRule type="expression" dxfId="2141" priority="1279">
      <formula>$AC203=2</formula>
    </cfRule>
  </conditionalFormatting>
  <conditionalFormatting sqref="U203:U204">
    <cfRule type="expression" dxfId="2140" priority="1278">
      <formula>$AC203=2</formula>
    </cfRule>
  </conditionalFormatting>
  <conditionalFormatting sqref="U203:U204">
    <cfRule type="expression" dxfId="2139" priority="1277">
      <formula>U203&gt;F203</formula>
    </cfRule>
  </conditionalFormatting>
  <conditionalFormatting sqref="Q206:R207">
    <cfRule type="expression" dxfId="2138" priority="1271">
      <formula>$AE206=4</formula>
    </cfRule>
    <cfRule type="expression" dxfId="2137" priority="1272">
      <formula>$AE206=3</formula>
    </cfRule>
    <cfRule type="expression" dxfId="2136" priority="1273">
      <formula>$AE206=2</formula>
    </cfRule>
    <cfRule type="expression" dxfId="2135" priority="1274">
      <formula>$AE206=1</formula>
    </cfRule>
  </conditionalFormatting>
  <conditionalFormatting sqref="X206:Y207">
    <cfRule type="expression" dxfId="2134" priority="1267">
      <formula>$AF206=4</formula>
    </cfRule>
    <cfRule type="expression" dxfId="2133" priority="1268">
      <formula>$AF206=3</formula>
    </cfRule>
    <cfRule type="expression" dxfId="2132" priority="1269">
      <formula>$AF206=2</formula>
    </cfRule>
    <cfRule type="expression" dxfId="2131" priority="1270">
      <formula>$AF206=1</formula>
    </cfRule>
  </conditionalFormatting>
  <conditionalFormatting sqref="N206:N207">
    <cfRule type="expression" dxfId="2130" priority="1266">
      <formula>$AC206=2</formula>
    </cfRule>
  </conditionalFormatting>
  <conditionalFormatting sqref="N206:N207">
    <cfRule type="expression" dxfId="2129" priority="1265">
      <formula>N206&gt;F206</formula>
    </cfRule>
  </conditionalFormatting>
  <conditionalFormatting sqref="G206:G207">
    <cfRule type="expression" dxfId="2128" priority="1252">
      <formula>G206&gt;F206</formula>
    </cfRule>
  </conditionalFormatting>
  <conditionalFormatting sqref="J206:K207">
    <cfRule type="expression" dxfId="2127" priority="1256">
      <formula>$AD206=4</formula>
    </cfRule>
    <cfRule type="expression" dxfId="2126" priority="1257">
      <formula>$AD206=3</formula>
    </cfRule>
    <cfRule type="expression" dxfId="2125" priority="1258">
      <formula>$AD206=2</formula>
    </cfRule>
    <cfRule type="expression" dxfId="2124" priority="1259">
      <formula>$AD206=1</formula>
    </cfRule>
  </conditionalFormatting>
  <conditionalFormatting sqref="J206:K207">
    <cfRule type="expression" dxfId="2123" priority="1255">
      <formula>$AC206=2</formula>
    </cfRule>
  </conditionalFormatting>
  <conditionalFormatting sqref="L206:L207">
    <cfRule type="expression" dxfId="2122" priority="1254">
      <formula>$AC206=2</formula>
    </cfRule>
  </conditionalFormatting>
  <conditionalFormatting sqref="G206:G207">
    <cfRule type="expression" dxfId="2121" priority="1253">
      <formula>$AC206=2</formula>
    </cfRule>
  </conditionalFormatting>
  <conditionalFormatting sqref="O206:O207">
    <cfRule type="expression" dxfId="2120" priority="1251">
      <formula>$AC206=2</formula>
    </cfRule>
  </conditionalFormatting>
  <conditionalFormatting sqref="V206:V207">
    <cfRule type="expression" dxfId="2119" priority="1250">
      <formula>$AC206=2</formula>
    </cfRule>
  </conditionalFormatting>
  <conditionalFormatting sqref="U206:U207">
    <cfRule type="expression" dxfId="2118" priority="1249">
      <formula>$AC206=2</formula>
    </cfRule>
  </conditionalFormatting>
  <conditionalFormatting sqref="U206:U207">
    <cfRule type="expression" dxfId="2117" priority="1248">
      <formula>U206&gt;F206</formula>
    </cfRule>
  </conditionalFormatting>
  <conditionalFormatting sqref="G47">
    <cfRule type="expression" dxfId="2116" priority="1245">
      <formula>$AC47=2</formula>
    </cfRule>
  </conditionalFormatting>
  <conditionalFormatting sqref="G47">
    <cfRule type="expression" dxfId="2115" priority="1244">
      <formula>G47&gt;F47</formula>
    </cfRule>
  </conditionalFormatting>
  <conditionalFormatting sqref="G56">
    <cfRule type="expression" dxfId="2114" priority="1243">
      <formula>$AC56=2</formula>
    </cfRule>
  </conditionalFormatting>
  <conditionalFormatting sqref="G56">
    <cfRule type="expression" dxfId="2113" priority="1242">
      <formula>G56&gt;F56</formula>
    </cfRule>
  </conditionalFormatting>
  <conditionalFormatting sqref="G119">
    <cfRule type="expression" dxfId="2112" priority="1241">
      <formula>$AC119=2</formula>
    </cfRule>
  </conditionalFormatting>
  <conditionalFormatting sqref="G119">
    <cfRule type="expression" dxfId="2111" priority="1240">
      <formula>G119&gt;F119</formula>
    </cfRule>
  </conditionalFormatting>
  <conditionalFormatting sqref="G123">
    <cfRule type="expression" dxfId="2110" priority="1239">
      <formula>$AC123=2</formula>
    </cfRule>
  </conditionalFormatting>
  <conditionalFormatting sqref="G123">
    <cfRule type="expression" dxfId="2109" priority="1238">
      <formula>G123&gt;F123</formula>
    </cfRule>
  </conditionalFormatting>
  <conditionalFormatting sqref="G127">
    <cfRule type="expression" dxfId="2108" priority="1237">
      <formula>$AC127=2</formula>
    </cfRule>
  </conditionalFormatting>
  <conditionalFormatting sqref="G127">
    <cfRule type="expression" dxfId="2107" priority="1236">
      <formula>G127&gt;F127</formula>
    </cfRule>
  </conditionalFormatting>
  <conditionalFormatting sqref="G131">
    <cfRule type="expression" dxfId="2106" priority="1235">
      <formula>$AC131=2</formula>
    </cfRule>
  </conditionalFormatting>
  <conditionalFormatting sqref="G131">
    <cfRule type="expression" dxfId="2105" priority="1234">
      <formula>G131&gt;F131</formula>
    </cfRule>
  </conditionalFormatting>
  <conditionalFormatting sqref="G167">
    <cfRule type="expression" dxfId="2104" priority="1233">
      <formula>$AC167=2</formula>
    </cfRule>
  </conditionalFormatting>
  <conditionalFormatting sqref="G167">
    <cfRule type="expression" dxfId="2103" priority="1232">
      <formula>G167&gt;F167</formula>
    </cfRule>
  </conditionalFormatting>
  <conditionalFormatting sqref="G174">
    <cfRule type="expression" dxfId="2102" priority="1229">
      <formula>$AC174=2</formula>
    </cfRule>
  </conditionalFormatting>
  <conditionalFormatting sqref="G174">
    <cfRule type="expression" dxfId="2101" priority="1228">
      <formula>G174&gt;F174</formula>
    </cfRule>
  </conditionalFormatting>
  <conditionalFormatting sqref="G178">
    <cfRule type="expression" dxfId="2100" priority="1227">
      <formula>$AC178=2</formula>
    </cfRule>
  </conditionalFormatting>
  <conditionalFormatting sqref="G178">
    <cfRule type="expression" dxfId="2099" priority="1226">
      <formula>G178&gt;F178</formula>
    </cfRule>
  </conditionalFormatting>
  <conditionalFormatting sqref="G184">
    <cfRule type="expression" dxfId="2098" priority="1225">
      <formula>$AC184=2</formula>
    </cfRule>
  </conditionalFormatting>
  <conditionalFormatting sqref="G184">
    <cfRule type="expression" dxfId="2097" priority="1224">
      <formula>G184&gt;F184</formula>
    </cfRule>
  </conditionalFormatting>
  <conditionalFormatting sqref="G187">
    <cfRule type="expression" dxfId="2096" priority="1223">
      <formula>$AC187=2</formula>
    </cfRule>
  </conditionalFormatting>
  <conditionalFormatting sqref="G187">
    <cfRule type="expression" dxfId="2095" priority="1222">
      <formula>G187&gt;F187</formula>
    </cfRule>
  </conditionalFormatting>
  <conditionalFormatting sqref="L224">
    <cfRule type="expression" dxfId="2094" priority="1221">
      <formula>$AC224=2</formula>
    </cfRule>
  </conditionalFormatting>
  <conditionalFormatting sqref="J224">
    <cfRule type="expression" dxfId="2093" priority="1217">
      <formula>$AD224=4</formula>
    </cfRule>
    <cfRule type="expression" dxfId="2092" priority="1218">
      <formula>$AD224=3</formula>
    </cfRule>
    <cfRule type="expression" dxfId="2091" priority="1219">
      <formula>$AD224=2</formula>
    </cfRule>
    <cfRule type="expression" dxfId="2090" priority="1220">
      <formula>$AD224=1</formula>
    </cfRule>
  </conditionalFormatting>
  <conditionalFormatting sqref="Q224:R224">
    <cfRule type="expression" dxfId="2089" priority="1213">
      <formula>$AE224=4</formula>
    </cfRule>
    <cfRule type="expression" dxfId="2088" priority="1214">
      <formula>$AE224=3</formula>
    </cfRule>
    <cfRule type="expression" dxfId="2087" priority="1215">
      <formula>$AE224=2</formula>
    </cfRule>
    <cfRule type="expression" dxfId="2086" priority="1216">
      <formula>$AE224=1</formula>
    </cfRule>
  </conditionalFormatting>
  <conditionalFormatting sqref="X224:Y224">
    <cfRule type="expression" dxfId="2085" priority="1209">
      <formula>$AF224=4</formula>
    </cfRule>
    <cfRule type="expression" dxfId="2084" priority="1210">
      <formula>$AF224=3</formula>
    </cfRule>
    <cfRule type="expression" dxfId="2083" priority="1211">
      <formula>$AF224=2</formula>
    </cfRule>
    <cfRule type="expression" dxfId="2082" priority="1212">
      <formula>$AF224=1</formula>
    </cfRule>
  </conditionalFormatting>
  <conditionalFormatting sqref="J224">
    <cfRule type="expression" dxfId="2081" priority="1208">
      <formula>$AC224=2</formula>
    </cfRule>
  </conditionalFormatting>
  <conditionalFormatting sqref="N224">
    <cfRule type="expression" dxfId="2080" priority="1207">
      <formula>N224&gt;F224</formula>
    </cfRule>
  </conditionalFormatting>
  <conditionalFormatting sqref="U224">
    <cfRule type="expression" dxfId="2079" priority="1206">
      <formula>U224&gt;F224</formula>
    </cfRule>
  </conditionalFormatting>
  <conditionalFormatting sqref="K224">
    <cfRule type="expression" dxfId="2078" priority="1198">
      <formula>$AD224=4</formula>
    </cfRule>
    <cfRule type="expression" dxfId="2077" priority="1199">
      <formula>$AD224=3</formula>
    </cfRule>
    <cfRule type="expression" dxfId="2076" priority="1200">
      <formula>$AD224=2</formula>
    </cfRule>
    <cfRule type="expression" dxfId="2075" priority="1201">
      <formula>$AD224=1</formula>
    </cfRule>
  </conditionalFormatting>
  <conditionalFormatting sqref="K224">
    <cfRule type="expression" dxfId="2074" priority="1197">
      <formula>$AC224=2</formula>
    </cfRule>
  </conditionalFormatting>
  <conditionalFormatting sqref="Z224">
    <cfRule type="expression" dxfId="2073" priority="1196">
      <formula>$AC224=2</formula>
    </cfRule>
  </conditionalFormatting>
  <conditionalFormatting sqref="X196:Y196">
    <cfRule type="expression" dxfId="2072" priority="1184">
      <formula>$AF196=4</formula>
    </cfRule>
    <cfRule type="expression" dxfId="2071" priority="1185">
      <formula>$AF196=3</formula>
    </cfRule>
    <cfRule type="expression" dxfId="2070" priority="1186">
      <formula>$AF196=2</formula>
    </cfRule>
    <cfRule type="expression" dxfId="2069" priority="1187">
      <formula>$AF196=1</formula>
    </cfRule>
  </conditionalFormatting>
  <conditionalFormatting sqref="AZ196">
    <cfRule type="expression" dxfId="2068" priority="1183">
      <formula>$AC196=2</formula>
    </cfRule>
  </conditionalFormatting>
  <conditionalFormatting sqref="J198:K198">
    <cfRule type="expression" dxfId="2067" priority="1168">
      <formula>$AD198=4</formula>
    </cfRule>
    <cfRule type="expression" dxfId="2066" priority="1169">
      <formula>$AD198=3</formula>
    </cfRule>
    <cfRule type="expression" dxfId="2065" priority="1170">
      <formula>$AD198=2</formula>
    </cfRule>
    <cfRule type="expression" dxfId="2064" priority="1171">
      <formula>$AD198=1</formula>
    </cfRule>
  </conditionalFormatting>
  <conditionalFormatting sqref="Q198:R198">
    <cfRule type="expression" dxfId="2063" priority="1164">
      <formula>$AE198=4</formula>
    </cfRule>
    <cfRule type="expression" dxfId="2062" priority="1165">
      <formula>$AE198=3</formula>
    </cfRule>
    <cfRule type="expression" dxfId="2061" priority="1166">
      <formula>$AE198=2</formula>
    </cfRule>
    <cfRule type="expression" dxfId="2060" priority="1167">
      <formula>$AE198=1</formula>
    </cfRule>
  </conditionalFormatting>
  <conditionalFormatting sqref="X198:Y198">
    <cfRule type="expression" dxfId="2059" priority="1160">
      <formula>$AF198=4</formula>
    </cfRule>
    <cfRule type="expression" dxfId="2058" priority="1161">
      <formula>$AF198=3</formula>
    </cfRule>
    <cfRule type="expression" dxfId="2057" priority="1162">
      <formula>$AF198=2</formula>
    </cfRule>
    <cfRule type="expression" dxfId="2056" priority="1163">
      <formula>$AF198=1</formula>
    </cfRule>
  </conditionalFormatting>
  <conditionalFormatting sqref="AZ198">
    <cfRule type="expression" dxfId="2055" priority="1159">
      <formula>$AC198=2</formula>
    </cfRule>
  </conditionalFormatting>
  <conditionalFormatting sqref="G198">
    <cfRule type="expression" dxfId="2054" priority="1158">
      <formula>G198&gt;F198</formula>
    </cfRule>
  </conditionalFormatting>
  <conditionalFormatting sqref="N198">
    <cfRule type="expression" dxfId="2053" priority="1157">
      <formula>N198&gt;F198</formula>
    </cfRule>
  </conditionalFormatting>
  <conditionalFormatting sqref="U198">
    <cfRule type="expression" dxfId="2052" priority="1156">
      <formula>U198&gt;F198</formula>
    </cfRule>
  </conditionalFormatting>
  <conditionalFormatting sqref="O211">
    <cfRule type="expression" dxfId="2051" priority="1147">
      <formula>$AC211=2</formula>
    </cfRule>
  </conditionalFormatting>
  <conditionalFormatting sqref="O212">
    <cfRule type="expression" dxfId="2050" priority="1146">
      <formula>$AC212=2</formula>
    </cfRule>
  </conditionalFormatting>
  <conditionalFormatting sqref="O213">
    <cfRule type="expression" dxfId="2049" priority="1145">
      <formula>$AC213=2</formula>
    </cfRule>
  </conditionalFormatting>
  <conditionalFormatting sqref="O214:O224">
    <cfRule type="expression" dxfId="2048" priority="1144">
      <formula>$AC214=2</formula>
    </cfRule>
  </conditionalFormatting>
  <conditionalFormatting sqref="V211:V224">
    <cfRule type="expression" dxfId="2047" priority="1143">
      <formula>$AC211=2</formula>
    </cfRule>
  </conditionalFormatting>
  <conditionalFormatting sqref="Q63:R63">
    <cfRule type="expression" dxfId="2046" priority="1139">
      <formula>$AE63=4</formula>
    </cfRule>
    <cfRule type="expression" dxfId="2045" priority="1140">
      <formula>$AE63=3</formula>
    </cfRule>
    <cfRule type="expression" dxfId="2044" priority="1141">
      <formula>$AE63=2</formula>
    </cfRule>
    <cfRule type="expression" dxfId="2043" priority="1142">
      <formula>$AE63=1</formula>
    </cfRule>
  </conditionalFormatting>
  <conditionalFormatting sqref="Q63:R63">
    <cfRule type="expression" dxfId="2042" priority="1138">
      <formula>$AC63=2</formula>
    </cfRule>
  </conditionalFormatting>
  <conditionalFormatting sqref="U63">
    <cfRule type="expression" dxfId="2041" priority="1137">
      <formula>U63&gt;F63</formula>
    </cfRule>
  </conditionalFormatting>
  <conditionalFormatting sqref="O63">
    <cfRule type="expression" dxfId="2040" priority="1132">
      <formula>$AC63=2</formula>
    </cfRule>
  </conditionalFormatting>
  <conditionalFormatting sqref="V63">
    <cfRule type="expression" dxfId="2039" priority="1131">
      <formula>$AC63=2</formula>
    </cfRule>
  </conditionalFormatting>
  <conditionalFormatting sqref="Q92:R92">
    <cfRule type="expression" dxfId="2038" priority="1127">
      <formula>$AE92=4</formula>
    </cfRule>
    <cfRule type="expression" dxfId="2037" priority="1128">
      <formula>$AE92=3</formula>
    </cfRule>
    <cfRule type="expression" dxfId="2036" priority="1129">
      <formula>$AE92=2</formula>
    </cfRule>
    <cfRule type="expression" dxfId="2035" priority="1130">
      <formula>$AE92=1</formula>
    </cfRule>
  </conditionalFormatting>
  <conditionalFormatting sqref="Q92:R92">
    <cfRule type="expression" dxfId="2034" priority="1126">
      <formula>$AC92=2</formula>
    </cfRule>
  </conditionalFormatting>
  <conditionalFormatting sqref="U92">
    <cfRule type="expression" dxfId="2033" priority="1125">
      <formula>U92&gt;F92</formula>
    </cfRule>
  </conditionalFormatting>
  <conditionalFormatting sqref="O92">
    <cfRule type="expression" dxfId="2032" priority="1120">
      <formula>$AC92=2</formula>
    </cfRule>
  </conditionalFormatting>
  <conditionalFormatting sqref="V92">
    <cfRule type="expression" dxfId="2031" priority="1119">
      <formula>$AC92=2</formula>
    </cfRule>
  </conditionalFormatting>
  <conditionalFormatting sqref="Q101:R101">
    <cfRule type="expression" dxfId="2030" priority="1115">
      <formula>$AE101=4</formula>
    </cfRule>
    <cfRule type="expression" dxfId="2029" priority="1116">
      <formula>$AE101=3</formula>
    </cfRule>
    <cfRule type="expression" dxfId="2028" priority="1117">
      <formula>$AE101=2</formula>
    </cfRule>
    <cfRule type="expression" dxfId="2027" priority="1118">
      <formula>$AE101=1</formula>
    </cfRule>
  </conditionalFormatting>
  <conditionalFormatting sqref="Q101:R101">
    <cfRule type="expression" dxfId="2026" priority="1114">
      <formula>$AC101=2</formula>
    </cfRule>
  </conditionalFormatting>
  <conditionalFormatting sqref="U101">
    <cfRule type="expression" dxfId="2025" priority="1113">
      <formula>U101&gt;F101</formula>
    </cfRule>
  </conditionalFormatting>
  <conditionalFormatting sqref="O101">
    <cfRule type="expression" dxfId="2024" priority="1108">
      <formula>$AC101=2</formula>
    </cfRule>
  </conditionalFormatting>
  <conditionalFormatting sqref="V101">
    <cfRule type="expression" dxfId="2023" priority="1107">
      <formula>$AC101=2</formula>
    </cfRule>
  </conditionalFormatting>
  <conditionalFormatting sqref="Q115:R115">
    <cfRule type="expression" dxfId="2022" priority="1103">
      <formula>$AE115=4</formula>
    </cfRule>
    <cfRule type="expression" dxfId="2021" priority="1104">
      <formula>$AE115=3</formula>
    </cfRule>
    <cfRule type="expression" dxfId="2020" priority="1105">
      <formula>$AE115=2</formula>
    </cfRule>
    <cfRule type="expression" dxfId="2019" priority="1106">
      <formula>$AE115=1</formula>
    </cfRule>
  </conditionalFormatting>
  <conditionalFormatting sqref="Q115:R115">
    <cfRule type="expression" dxfId="2018" priority="1102">
      <formula>$AC115=2</formula>
    </cfRule>
  </conditionalFormatting>
  <conditionalFormatting sqref="U115">
    <cfRule type="expression" dxfId="2017" priority="1101">
      <formula>U115&gt;F115</formula>
    </cfRule>
  </conditionalFormatting>
  <conditionalFormatting sqref="O115">
    <cfRule type="expression" dxfId="2016" priority="1096">
      <formula>$AC115=2</formula>
    </cfRule>
  </conditionalFormatting>
  <conditionalFormatting sqref="V115">
    <cfRule type="expression" dxfId="2015" priority="1095">
      <formula>$AC115=2</formula>
    </cfRule>
  </conditionalFormatting>
  <conditionalFormatting sqref="Q145:R145">
    <cfRule type="expression" dxfId="2014" priority="1091">
      <formula>$AE145=4</formula>
    </cfRule>
    <cfRule type="expression" dxfId="2013" priority="1092">
      <formula>$AE145=3</formula>
    </cfRule>
    <cfRule type="expression" dxfId="2012" priority="1093">
      <formula>$AE145=2</formula>
    </cfRule>
    <cfRule type="expression" dxfId="2011" priority="1094">
      <formula>$AE145=1</formula>
    </cfRule>
  </conditionalFormatting>
  <conditionalFormatting sqref="Q145:R145">
    <cfRule type="expression" dxfId="2010" priority="1090">
      <formula>$AC145=2</formula>
    </cfRule>
  </conditionalFormatting>
  <conditionalFormatting sqref="U145">
    <cfRule type="expression" dxfId="2009" priority="1089">
      <formula>U145&gt;F145</formula>
    </cfRule>
  </conditionalFormatting>
  <conditionalFormatting sqref="O145">
    <cfRule type="expression" dxfId="2008" priority="1084">
      <formula>$AC145=2</formula>
    </cfRule>
  </conditionalFormatting>
  <conditionalFormatting sqref="V145">
    <cfRule type="expression" dxfId="2007" priority="1083">
      <formula>$AC145=2</formula>
    </cfRule>
  </conditionalFormatting>
  <conditionalFormatting sqref="Q160:R160">
    <cfRule type="expression" dxfId="2006" priority="1079">
      <formula>$AE160=4</formula>
    </cfRule>
    <cfRule type="expression" dxfId="2005" priority="1080">
      <formula>$AE160=3</formula>
    </cfRule>
    <cfRule type="expression" dxfId="2004" priority="1081">
      <formula>$AE160=2</formula>
    </cfRule>
    <cfRule type="expression" dxfId="2003" priority="1082">
      <formula>$AE160=1</formula>
    </cfRule>
  </conditionalFormatting>
  <conditionalFormatting sqref="Q160:R160">
    <cfRule type="expression" dxfId="2002" priority="1078">
      <formula>$AC160=2</formula>
    </cfRule>
  </conditionalFormatting>
  <conditionalFormatting sqref="U160">
    <cfRule type="expression" dxfId="2001" priority="1077">
      <formula>U160&gt;F160</formula>
    </cfRule>
  </conditionalFormatting>
  <conditionalFormatting sqref="O160">
    <cfRule type="expression" dxfId="2000" priority="1072">
      <formula>$AC160=2</formula>
    </cfRule>
  </conditionalFormatting>
  <conditionalFormatting sqref="V160">
    <cfRule type="expression" dxfId="1999" priority="1071">
      <formula>$AC160=2</formula>
    </cfRule>
  </conditionalFormatting>
  <conditionalFormatting sqref="Q191:R191">
    <cfRule type="expression" dxfId="1998" priority="1067">
      <formula>$AE191=4</formula>
    </cfRule>
    <cfRule type="expression" dxfId="1997" priority="1068">
      <formula>$AE191=3</formula>
    </cfRule>
    <cfRule type="expression" dxfId="1996" priority="1069">
      <formula>$AE191=2</formula>
    </cfRule>
    <cfRule type="expression" dxfId="1995" priority="1070">
      <formula>$AE191=1</formula>
    </cfRule>
  </conditionalFormatting>
  <conditionalFormatting sqref="Q191:R191">
    <cfRule type="expression" dxfId="1994" priority="1066">
      <formula>$AC191=2</formula>
    </cfRule>
  </conditionalFormatting>
  <conditionalFormatting sqref="U191">
    <cfRule type="expression" dxfId="1993" priority="1065">
      <formula>U191&gt;F191</formula>
    </cfRule>
  </conditionalFormatting>
  <conditionalFormatting sqref="O191">
    <cfRule type="expression" dxfId="1992" priority="1060">
      <formula>$AC191=2</formula>
    </cfRule>
  </conditionalFormatting>
  <conditionalFormatting sqref="V191">
    <cfRule type="expression" dxfId="1991" priority="1059">
      <formula>$AC191=2</formula>
    </cfRule>
  </conditionalFormatting>
  <conditionalFormatting sqref="Q208:R208">
    <cfRule type="expression" dxfId="1990" priority="1055">
      <formula>$AE208=4</formula>
    </cfRule>
    <cfRule type="expression" dxfId="1989" priority="1056">
      <formula>$AE208=3</formula>
    </cfRule>
    <cfRule type="expression" dxfId="1988" priority="1057">
      <formula>$AE208=2</formula>
    </cfRule>
    <cfRule type="expression" dxfId="1987" priority="1058">
      <formula>$AE208=1</formula>
    </cfRule>
  </conditionalFormatting>
  <conditionalFormatting sqref="Q208:R208">
    <cfRule type="expression" dxfId="1986" priority="1054">
      <formula>$AC208=2</formula>
    </cfRule>
  </conditionalFormatting>
  <conditionalFormatting sqref="U208">
    <cfRule type="expression" dxfId="1985" priority="1053">
      <formula>U208&gt;F208</formula>
    </cfRule>
  </conditionalFormatting>
  <conditionalFormatting sqref="O208">
    <cfRule type="expression" dxfId="1984" priority="1048">
      <formula>$AC208=2</formula>
    </cfRule>
  </conditionalFormatting>
  <conditionalFormatting sqref="V208">
    <cfRule type="expression" dxfId="1983" priority="1047">
      <formula>$AC208=2</formula>
    </cfRule>
  </conditionalFormatting>
  <conditionalFormatting sqref="Q225:R225">
    <cfRule type="expression" dxfId="1982" priority="1043">
      <formula>$AE225=4</formula>
    </cfRule>
    <cfRule type="expression" dxfId="1981" priority="1044">
      <formula>$AE225=3</formula>
    </cfRule>
    <cfRule type="expression" dxfId="1980" priority="1045">
      <formula>$AE225=2</formula>
    </cfRule>
    <cfRule type="expression" dxfId="1979" priority="1046">
      <formula>$AE225=1</formula>
    </cfRule>
  </conditionalFormatting>
  <conditionalFormatting sqref="U225">
    <cfRule type="expression" dxfId="1978" priority="1041">
      <formula>U225&gt;F225</formula>
    </cfRule>
  </conditionalFormatting>
  <conditionalFormatting sqref="O225">
    <cfRule type="expression" dxfId="1977" priority="1036">
      <formula>$AC225=2</formula>
    </cfRule>
  </conditionalFormatting>
  <conditionalFormatting sqref="V225">
    <cfRule type="expression" dxfId="1976" priority="1035">
      <formula>$AC225=2</formula>
    </cfRule>
  </conditionalFormatting>
  <conditionalFormatting sqref="N56">
    <cfRule type="expression" dxfId="1975" priority="1034">
      <formula>$AC56=2</formula>
    </cfRule>
  </conditionalFormatting>
  <conditionalFormatting sqref="N56">
    <cfRule type="expression" dxfId="1974" priority="1033">
      <formula>N56&gt;F56</formula>
    </cfRule>
  </conditionalFormatting>
  <conditionalFormatting sqref="N119">
    <cfRule type="expression" dxfId="1973" priority="1030">
      <formula>$AC119=2</formula>
    </cfRule>
  </conditionalFormatting>
  <conditionalFormatting sqref="N119">
    <cfRule type="expression" dxfId="1972" priority="1029">
      <formula>N119&gt;F119</formula>
    </cfRule>
  </conditionalFormatting>
  <conditionalFormatting sqref="N123">
    <cfRule type="expression" dxfId="1971" priority="1026">
      <formula>$AC123=2</formula>
    </cfRule>
  </conditionalFormatting>
  <conditionalFormatting sqref="N123">
    <cfRule type="expression" dxfId="1970" priority="1025">
      <formula>N123&gt;F123</formula>
    </cfRule>
  </conditionalFormatting>
  <conditionalFormatting sqref="N127">
    <cfRule type="expression" dxfId="1969" priority="1022">
      <formula>$AC127=2</formula>
    </cfRule>
  </conditionalFormatting>
  <conditionalFormatting sqref="N127">
    <cfRule type="expression" dxfId="1968" priority="1021">
      <formula>N127&gt;F127</formula>
    </cfRule>
  </conditionalFormatting>
  <conditionalFormatting sqref="N131">
    <cfRule type="expression" dxfId="1967" priority="1018">
      <formula>$AC131=2</formula>
    </cfRule>
  </conditionalFormatting>
  <conditionalFormatting sqref="N131">
    <cfRule type="expression" dxfId="1966" priority="1017">
      <formula>N131&gt;F131</formula>
    </cfRule>
  </conditionalFormatting>
  <conditionalFormatting sqref="N167">
    <cfRule type="expression" dxfId="1965" priority="1014">
      <formula>$AC167=2</formula>
    </cfRule>
  </conditionalFormatting>
  <conditionalFormatting sqref="N167">
    <cfRule type="expression" dxfId="1964" priority="1013">
      <formula>N167&gt;F167</formula>
    </cfRule>
  </conditionalFormatting>
  <conditionalFormatting sqref="N174">
    <cfRule type="expression" dxfId="1963" priority="1006">
      <formula>$AC174=2</formula>
    </cfRule>
  </conditionalFormatting>
  <conditionalFormatting sqref="N174">
    <cfRule type="expression" dxfId="1962" priority="1005">
      <formula>N174&gt;F174</formula>
    </cfRule>
  </conditionalFormatting>
  <conditionalFormatting sqref="N178">
    <cfRule type="expression" dxfId="1961" priority="1002">
      <formula>$AC178=2</formula>
    </cfRule>
  </conditionalFormatting>
  <conditionalFormatting sqref="N178">
    <cfRule type="expression" dxfId="1960" priority="1001">
      <formula>N178&gt;F178</formula>
    </cfRule>
  </conditionalFormatting>
  <conditionalFormatting sqref="N184">
    <cfRule type="expression" dxfId="1959" priority="998">
      <formula>$AC184=2</formula>
    </cfRule>
  </conditionalFormatting>
  <conditionalFormatting sqref="N184">
    <cfRule type="expression" dxfId="1958" priority="997">
      <formula>N184&gt;F184</formula>
    </cfRule>
  </conditionalFormatting>
  <conditionalFormatting sqref="N187">
    <cfRule type="expression" dxfId="1957" priority="994">
      <formula>$AC187=2</formula>
    </cfRule>
  </conditionalFormatting>
  <conditionalFormatting sqref="N187">
    <cfRule type="expression" dxfId="1956" priority="993">
      <formula>N187&gt;F187</formula>
    </cfRule>
  </conditionalFormatting>
  <conditionalFormatting sqref="U56">
    <cfRule type="expression" dxfId="1955" priority="990">
      <formula>$AC56=2</formula>
    </cfRule>
  </conditionalFormatting>
  <conditionalFormatting sqref="U56">
    <cfRule type="expression" dxfId="1954" priority="989">
      <formula>U56&gt;F56</formula>
    </cfRule>
  </conditionalFormatting>
  <conditionalFormatting sqref="U119">
    <cfRule type="expression" dxfId="1953" priority="986">
      <formula>$AC119=2</formula>
    </cfRule>
  </conditionalFormatting>
  <conditionalFormatting sqref="U119">
    <cfRule type="expression" dxfId="1952" priority="985">
      <formula>U119&gt;F119</formula>
    </cfRule>
  </conditionalFormatting>
  <conditionalFormatting sqref="U123">
    <cfRule type="expression" dxfId="1951" priority="982">
      <formula>$AC123=2</formula>
    </cfRule>
  </conditionalFormatting>
  <conditionalFormatting sqref="U123">
    <cfRule type="expression" dxfId="1950" priority="981">
      <formula>U123&gt;F123</formula>
    </cfRule>
  </conditionalFormatting>
  <conditionalFormatting sqref="U127">
    <cfRule type="expression" dxfId="1949" priority="978">
      <formula>$AC127=2</formula>
    </cfRule>
  </conditionalFormatting>
  <conditionalFormatting sqref="U127">
    <cfRule type="expression" dxfId="1948" priority="977">
      <formula>U127&gt;F127</formula>
    </cfRule>
  </conditionalFormatting>
  <conditionalFormatting sqref="U131">
    <cfRule type="expression" dxfId="1947" priority="974">
      <formula>$AC131=2</formula>
    </cfRule>
  </conditionalFormatting>
  <conditionalFormatting sqref="U131">
    <cfRule type="expression" dxfId="1946" priority="973">
      <formula>U131&gt;F131</formula>
    </cfRule>
  </conditionalFormatting>
  <conditionalFormatting sqref="U167">
    <cfRule type="expression" dxfId="1945" priority="970">
      <formula>$AC167=2</formula>
    </cfRule>
  </conditionalFormatting>
  <conditionalFormatting sqref="U167">
    <cfRule type="expression" dxfId="1944" priority="969">
      <formula>U167&gt;F167</formula>
    </cfRule>
  </conditionalFormatting>
  <conditionalFormatting sqref="U174">
    <cfRule type="expression" dxfId="1943" priority="962">
      <formula>$AC174=2</formula>
    </cfRule>
  </conditionalFormatting>
  <conditionalFormatting sqref="U174">
    <cfRule type="expression" dxfId="1942" priority="961">
      <formula>U174&gt;F174</formula>
    </cfRule>
  </conditionalFormatting>
  <conditionalFormatting sqref="U178">
    <cfRule type="expression" dxfId="1941" priority="958">
      <formula>$AC178=2</formula>
    </cfRule>
  </conditionalFormatting>
  <conditionalFormatting sqref="U178">
    <cfRule type="expression" dxfId="1940" priority="957">
      <formula>U178&gt;F178</formula>
    </cfRule>
  </conditionalFormatting>
  <conditionalFormatting sqref="U184">
    <cfRule type="expression" dxfId="1939" priority="954">
      <formula>$AC184=2</formula>
    </cfRule>
  </conditionalFormatting>
  <conditionalFormatting sqref="U184">
    <cfRule type="expression" dxfId="1938" priority="953">
      <formula>U184&gt;F184</formula>
    </cfRule>
  </conditionalFormatting>
  <conditionalFormatting sqref="U187">
    <cfRule type="expression" dxfId="1937" priority="950">
      <formula>$AC187=2</formula>
    </cfRule>
  </conditionalFormatting>
  <conditionalFormatting sqref="U187">
    <cfRule type="expression" dxfId="1936" priority="949">
      <formula>U187&gt;F187</formula>
    </cfRule>
  </conditionalFormatting>
  <conditionalFormatting sqref="AZ135">
    <cfRule type="expression" dxfId="1935" priority="946">
      <formula>$AC135=2</formula>
    </cfRule>
  </conditionalFormatting>
  <conditionalFormatting sqref="AB135">
    <cfRule type="expression" dxfId="1934" priority="944">
      <formula>$AJ$4="Nei"</formula>
    </cfRule>
    <cfRule type="expression" dxfId="1933" priority="945">
      <formula>$AC135=2</formula>
    </cfRule>
  </conditionalFormatting>
  <conditionalFormatting sqref="Q135:R135">
    <cfRule type="expression" dxfId="1932" priority="940">
      <formula>$AE135=4</formula>
    </cfRule>
    <cfRule type="expression" dxfId="1931" priority="941">
      <formula>$AE135=3</formula>
    </cfRule>
    <cfRule type="expression" dxfId="1930" priority="942">
      <formula>$AE135=2</formula>
    </cfRule>
    <cfRule type="expression" dxfId="1929" priority="943">
      <formula>$AE135=1</formula>
    </cfRule>
  </conditionalFormatting>
  <conditionalFormatting sqref="X135:Y135">
    <cfRule type="expression" dxfId="1928" priority="936">
      <formula>$AF135=4</formula>
    </cfRule>
    <cfRule type="expression" dxfId="1927" priority="937">
      <formula>$AF135=3</formula>
    </cfRule>
    <cfRule type="expression" dxfId="1926" priority="938">
      <formula>$AF135=2</formula>
    </cfRule>
    <cfRule type="expression" dxfId="1925" priority="939">
      <formula>$AF135=1</formula>
    </cfRule>
  </conditionalFormatting>
  <conditionalFormatting sqref="N135">
    <cfRule type="expression" dxfId="1924" priority="935">
      <formula>$AC135=2</formula>
    </cfRule>
  </conditionalFormatting>
  <conditionalFormatting sqref="N135">
    <cfRule type="expression" dxfId="1923" priority="934">
      <formula>N135&gt;F135</formula>
    </cfRule>
  </conditionalFormatting>
  <conditionalFormatting sqref="G135">
    <cfRule type="expression" dxfId="1922" priority="921">
      <formula>G135&gt;F135</formula>
    </cfRule>
  </conditionalFormatting>
  <conditionalFormatting sqref="K135">
    <cfRule type="expression" dxfId="1921" priority="925">
      <formula>$AD135=4</formula>
    </cfRule>
    <cfRule type="expression" dxfId="1920" priority="926">
      <formula>$AD135=3</formula>
    </cfRule>
    <cfRule type="expression" dxfId="1919" priority="927">
      <formula>$AD135=2</formula>
    </cfRule>
    <cfRule type="expression" dxfId="1918" priority="928">
      <formula>$AD135=1</formula>
    </cfRule>
  </conditionalFormatting>
  <conditionalFormatting sqref="K135">
    <cfRule type="expression" dxfId="1917" priority="924">
      <formula>$AC135=2</formula>
    </cfRule>
  </conditionalFormatting>
  <conditionalFormatting sqref="L135">
    <cfRule type="expression" dxfId="1916" priority="923">
      <formula>$AC135=2</formula>
    </cfRule>
  </conditionalFormatting>
  <conditionalFormatting sqref="G135">
    <cfRule type="expression" dxfId="1915" priority="922">
      <formula>$AC135=2</formula>
    </cfRule>
  </conditionalFormatting>
  <conditionalFormatting sqref="O135">
    <cfRule type="expression" dxfId="1914" priority="920">
      <formula>$AC135=2</formula>
    </cfRule>
  </conditionalFormatting>
  <conditionalFormatting sqref="V135">
    <cfRule type="expression" dxfId="1913" priority="919">
      <formula>$AC135=2</formula>
    </cfRule>
  </conditionalFormatting>
  <conditionalFormatting sqref="U135">
    <cfRule type="expression" dxfId="1912" priority="918">
      <formula>$AC135=2</formula>
    </cfRule>
  </conditionalFormatting>
  <conditionalFormatting sqref="U135">
    <cfRule type="expression" dxfId="1911" priority="917">
      <formula>U135&gt;F135</formula>
    </cfRule>
  </conditionalFormatting>
  <conditionalFormatting sqref="J197:K197">
    <cfRule type="expression" dxfId="1910" priority="911">
      <formula>$AD197=4</formula>
    </cfRule>
    <cfRule type="expression" dxfId="1909" priority="912">
      <formula>$AD197=3</formula>
    </cfRule>
    <cfRule type="expression" dxfId="1908" priority="913">
      <formula>$AD197=2</formula>
    </cfRule>
    <cfRule type="expression" dxfId="1907" priority="914">
      <formula>$AD197=1</formula>
    </cfRule>
  </conditionalFormatting>
  <conditionalFormatting sqref="Q197:R197">
    <cfRule type="expression" dxfId="1906" priority="907">
      <formula>$AE197=4</formula>
    </cfRule>
    <cfRule type="expression" dxfId="1905" priority="908">
      <formula>$AE197=3</formula>
    </cfRule>
    <cfRule type="expression" dxfId="1904" priority="909">
      <formula>$AE197=2</formula>
    </cfRule>
    <cfRule type="expression" dxfId="1903" priority="910">
      <formula>$AE197=1</formula>
    </cfRule>
  </conditionalFormatting>
  <conditionalFormatting sqref="X197:Y197">
    <cfRule type="expression" dxfId="1902" priority="903">
      <formula>$AF197=4</formula>
    </cfRule>
    <cfRule type="expression" dxfId="1901" priority="904">
      <formula>$AF197=3</formula>
    </cfRule>
    <cfRule type="expression" dxfId="1900" priority="905">
      <formula>$AF197=2</formula>
    </cfRule>
    <cfRule type="expression" dxfId="1899" priority="906">
      <formula>$AF197=1</formula>
    </cfRule>
  </conditionalFormatting>
  <conditionalFormatting sqref="AZ197">
    <cfRule type="expression" dxfId="1898" priority="902">
      <formula>$AC197=2</formula>
    </cfRule>
  </conditionalFormatting>
  <conditionalFormatting sqref="G197">
    <cfRule type="expression" dxfId="1897" priority="901">
      <formula>G197&gt;F197</formula>
    </cfRule>
  </conditionalFormatting>
  <conditionalFormatting sqref="N197">
    <cfRule type="expression" dxfId="1896" priority="900">
      <formula>N197&gt;F197</formula>
    </cfRule>
  </conditionalFormatting>
  <conditionalFormatting sqref="U197">
    <cfRule type="expression" dxfId="1895" priority="899">
      <formula>U197&gt;F197</formula>
    </cfRule>
  </conditionalFormatting>
  <conditionalFormatting sqref="Q196:R196">
    <cfRule type="expression" dxfId="1894" priority="887">
      <formula>$AE196=4</formula>
    </cfRule>
    <cfRule type="expression" dxfId="1893" priority="888">
      <formula>$AE196=3</formula>
    </cfRule>
    <cfRule type="expression" dxfId="1892" priority="889">
      <formula>$AE196=2</formula>
    </cfRule>
    <cfRule type="expression" dxfId="1891" priority="890">
      <formula>$AE196=1</formula>
    </cfRule>
  </conditionalFormatting>
  <conditionalFormatting sqref="H196:I196">
    <cfRule type="expression" dxfId="1890" priority="886">
      <formula>$AC196=2</formula>
    </cfRule>
  </conditionalFormatting>
  <conditionalFormatting sqref="J196:K196">
    <cfRule type="expression" dxfId="1889" priority="879">
      <formula>$AD196=4</formula>
    </cfRule>
    <cfRule type="expression" dxfId="1888" priority="880">
      <formula>$AD196=3</formula>
    </cfRule>
    <cfRule type="expression" dxfId="1887" priority="881">
      <formula>$AD196=2</formula>
    </cfRule>
    <cfRule type="expression" dxfId="1886" priority="882">
      <formula>$AD196=1</formula>
    </cfRule>
  </conditionalFormatting>
  <conditionalFormatting sqref="J196:K196">
    <cfRule type="expression" dxfId="1885" priority="878">
      <formula>$AC196=2</formula>
    </cfRule>
  </conditionalFormatting>
  <conditionalFormatting sqref="L196">
    <cfRule type="expression" dxfId="1884" priority="877">
      <formula>$AC196=2</formula>
    </cfRule>
  </conditionalFormatting>
  <conditionalFormatting sqref="O196">
    <cfRule type="expression" dxfId="1883" priority="876">
      <formula>$AC196=2</formula>
    </cfRule>
  </conditionalFormatting>
  <conditionalFormatting sqref="G196">
    <cfRule type="expression" dxfId="1882" priority="875">
      <formula>$AC196=2</formula>
    </cfRule>
  </conditionalFormatting>
  <conditionalFormatting sqref="G196">
    <cfRule type="expression" dxfId="1881" priority="874">
      <formula>G196&gt;F196</formula>
    </cfRule>
  </conditionalFormatting>
  <conditionalFormatting sqref="N196">
    <cfRule type="expression" dxfId="1880" priority="873">
      <formula>$AC196=2</formula>
    </cfRule>
  </conditionalFormatting>
  <conditionalFormatting sqref="N196">
    <cfRule type="expression" dxfId="1879" priority="872">
      <formula>N196&gt;F196</formula>
    </cfRule>
  </conditionalFormatting>
  <conditionalFormatting sqref="U196">
    <cfRule type="expression" dxfId="1878" priority="869">
      <formula>$AC196=2</formula>
    </cfRule>
  </conditionalFormatting>
  <conditionalFormatting sqref="U196">
    <cfRule type="expression" dxfId="1877" priority="868">
      <formula>U196&gt;F196</formula>
    </cfRule>
  </conditionalFormatting>
  <conditionalFormatting sqref="G25:I25">
    <cfRule type="expression" dxfId="1876" priority="865">
      <formula>$AC25=2</formula>
    </cfRule>
  </conditionalFormatting>
  <conditionalFormatting sqref="L25">
    <cfRule type="expression" dxfId="1875" priority="859">
      <formula>$AC25=2</formula>
    </cfRule>
  </conditionalFormatting>
  <conditionalFormatting sqref="G25">
    <cfRule type="expression" dxfId="1874" priority="858">
      <formula>G25&gt;F25</formula>
    </cfRule>
  </conditionalFormatting>
  <conditionalFormatting sqref="J25:K25">
    <cfRule type="expression" dxfId="1873" priority="861">
      <formula>$AD25=4</formula>
    </cfRule>
    <cfRule type="expression" dxfId="1872" priority="862">
      <formula>$AD25=3</formula>
    </cfRule>
    <cfRule type="expression" dxfId="1871" priority="863">
      <formula>$AD25=2</formula>
    </cfRule>
    <cfRule type="expression" dxfId="1870" priority="864">
      <formula>$AD25=1</formula>
    </cfRule>
  </conditionalFormatting>
  <conditionalFormatting sqref="J25:K25">
    <cfRule type="expression" dxfId="1869" priority="860">
      <formula>$AC25=2</formula>
    </cfRule>
  </conditionalFormatting>
  <conditionalFormatting sqref="Q25:R25">
    <cfRule type="expression" dxfId="1868" priority="854">
      <formula>$AE25=4</formula>
    </cfRule>
    <cfRule type="expression" dxfId="1867" priority="855">
      <formula>$AE25=3</formula>
    </cfRule>
    <cfRule type="expression" dxfId="1866" priority="856">
      <formula>$AE25=2</formula>
    </cfRule>
    <cfRule type="expression" dxfId="1865" priority="857">
      <formula>$AE25=1</formula>
    </cfRule>
  </conditionalFormatting>
  <conditionalFormatting sqref="X25:Y25">
    <cfRule type="expression" dxfId="1864" priority="850">
      <formula>$AF25=4</formula>
    </cfRule>
    <cfRule type="expression" dxfId="1863" priority="851">
      <formula>$AF25=3</formula>
    </cfRule>
    <cfRule type="expression" dxfId="1862" priority="852">
      <formula>$AF25=2</formula>
    </cfRule>
    <cfRule type="expression" dxfId="1861" priority="853">
      <formula>$AF25=1</formula>
    </cfRule>
  </conditionalFormatting>
  <conditionalFormatting sqref="N25">
    <cfRule type="expression" dxfId="1860" priority="849">
      <formula>$AC25=2</formula>
    </cfRule>
  </conditionalFormatting>
  <conditionalFormatting sqref="N25">
    <cfRule type="expression" dxfId="1859" priority="848">
      <formula>N25&gt;F25</formula>
    </cfRule>
  </conditionalFormatting>
  <conditionalFormatting sqref="O25">
    <cfRule type="expression" dxfId="1858" priority="842">
      <formula>$AC25=2</formula>
    </cfRule>
  </conditionalFormatting>
  <conditionalFormatting sqref="V25">
    <cfRule type="expression" dxfId="1857" priority="841">
      <formula>$AC25=2</formula>
    </cfRule>
  </conditionalFormatting>
  <conditionalFormatting sqref="U25">
    <cfRule type="expression" dxfId="1856" priority="840">
      <formula>$AC25=2</formula>
    </cfRule>
  </conditionalFormatting>
  <conditionalFormatting sqref="U25">
    <cfRule type="expression" dxfId="1855" priority="839">
      <formula>U25&gt;F25</formula>
    </cfRule>
  </conditionalFormatting>
  <conditionalFormatting sqref="G26:I26">
    <cfRule type="expression" dxfId="1854" priority="836">
      <formula>$AC26=2</formula>
    </cfRule>
  </conditionalFormatting>
  <conditionalFormatting sqref="L26">
    <cfRule type="expression" dxfId="1853" priority="830">
      <formula>$AC26=2</formula>
    </cfRule>
  </conditionalFormatting>
  <conditionalFormatting sqref="G26">
    <cfRule type="expression" dxfId="1852" priority="829">
      <formula>G26&gt;F26</formula>
    </cfRule>
  </conditionalFormatting>
  <conditionalFormatting sqref="J26:K26">
    <cfRule type="expression" dxfId="1851" priority="832">
      <formula>$AD26=4</formula>
    </cfRule>
    <cfRule type="expression" dxfId="1850" priority="833">
      <formula>$AD26=3</formula>
    </cfRule>
    <cfRule type="expression" dxfId="1849" priority="834">
      <formula>$AD26=2</formula>
    </cfRule>
    <cfRule type="expression" dxfId="1848" priority="835">
      <formula>$AD26=1</formula>
    </cfRule>
  </conditionalFormatting>
  <conditionalFormatting sqref="J26:K26">
    <cfRule type="expression" dxfId="1847" priority="831">
      <formula>$AC26=2</formula>
    </cfRule>
  </conditionalFormatting>
  <conditionalFormatting sqref="Q26:R26">
    <cfRule type="expression" dxfId="1846" priority="825">
      <formula>$AE26=4</formula>
    </cfRule>
    <cfRule type="expression" dxfId="1845" priority="826">
      <formula>$AE26=3</formula>
    </cfRule>
    <cfRule type="expression" dxfId="1844" priority="827">
      <formula>$AE26=2</formula>
    </cfRule>
    <cfRule type="expression" dxfId="1843" priority="828">
      <formula>$AE26=1</formula>
    </cfRule>
  </conditionalFormatting>
  <conditionalFormatting sqref="X26:Y26">
    <cfRule type="expression" dxfId="1842" priority="821">
      <formula>$AF26=4</formula>
    </cfRule>
    <cfRule type="expression" dxfId="1841" priority="822">
      <formula>$AF26=3</formula>
    </cfRule>
    <cfRule type="expression" dxfId="1840" priority="823">
      <formula>$AF26=2</formula>
    </cfRule>
    <cfRule type="expression" dxfId="1839" priority="824">
      <formula>$AF26=1</formula>
    </cfRule>
  </conditionalFormatting>
  <conditionalFormatting sqref="N26">
    <cfRule type="expression" dxfId="1838" priority="820">
      <formula>$AC26=2</formula>
    </cfRule>
  </conditionalFormatting>
  <conditionalFormatting sqref="N26">
    <cfRule type="expression" dxfId="1837" priority="819">
      <formula>N26&gt;F26</formula>
    </cfRule>
  </conditionalFormatting>
  <conditionalFormatting sqref="O26">
    <cfRule type="expression" dxfId="1836" priority="813">
      <formula>$AC26=2</formula>
    </cfRule>
  </conditionalFormatting>
  <conditionalFormatting sqref="V26">
    <cfRule type="expression" dxfId="1835" priority="812">
      <formula>$AC26=2</formula>
    </cfRule>
  </conditionalFormatting>
  <conditionalFormatting sqref="U26">
    <cfRule type="expression" dxfId="1834" priority="811">
      <formula>$AC26=2</formula>
    </cfRule>
  </conditionalFormatting>
  <conditionalFormatting sqref="U26">
    <cfRule type="expression" dxfId="1833" priority="810">
      <formula>U26&gt;F26</formula>
    </cfRule>
  </conditionalFormatting>
  <conditionalFormatting sqref="H11:H38 H86:H98 H41:H69 H100:H104 H154:H164 H166:H225 H71:H84 H106:H136 H150:H152 H138:H148">
    <cfRule type="expression" dxfId="1832" priority="807">
      <formula>F11=0</formula>
    </cfRule>
  </conditionalFormatting>
  <conditionalFormatting sqref="I11:I38 I86:I98 I41:I69 I100:I104 I154:I164 I166:I225 I71:I84 I106:I136 I150:I152 I138:I148">
    <cfRule type="expression" dxfId="1831" priority="806">
      <formula>F11=0</formula>
    </cfRule>
  </conditionalFormatting>
  <conditionalFormatting sqref="O86:O98 O100:O104 O11:O38 O190:O225 O154:O164 O166:O188 O41:O84 O106:O136 O150:O152 O138:O148">
    <cfRule type="expression" dxfId="1830" priority="3081">
      <formula>F11=0</formula>
    </cfRule>
  </conditionalFormatting>
  <conditionalFormatting sqref="V86:V98 V100:V104 V11:V14 V190:V225 V154:V164 V166:V188 V41:V84 V106:V136 V150:V152 V138:V148 V16:V38">
    <cfRule type="expression" dxfId="1829" priority="2294">
      <formula>F11=0</formula>
    </cfRule>
  </conditionalFormatting>
  <conditionalFormatting sqref="AZ85">
    <cfRule type="expression" dxfId="1828" priority="803">
      <formula>$AC85=2</formula>
    </cfRule>
  </conditionalFormatting>
  <conditionalFormatting sqref="AB85">
    <cfRule type="expression" dxfId="1827" priority="801">
      <formula>$AJ$4="Nei"</formula>
    </cfRule>
    <cfRule type="expression" dxfId="1826" priority="802">
      <formula>$AC85=2</formula>
    </cfRule>
  </conditionalFormatting>
  <conditionalFormatting sqref="Q85:R85">
    <cfRule type="expression" dxfId="1825" priority="797">
      <formula>$AE85=4</formula>
    </cfRule>
    <cfRule type="expression" dxfId="1824" priority="798">
      <formula>$AE85=3</formula>
    </cfRule>
    <cfRule type="expression" dxfId="1823" priority="799">
      <formula>$AE85=2</formula>
    </cfRule>
    <cfRule type="expression" dxfId="1822" priority="800">
      <formula>$AE85=1</formula>
    </cfRule>
  </conditionalFormatting>
  <conditionalFormatting sqref="X85:Y85">
    <cfRule type="expression" dxfId="1821" priority="793">
      <formula>$AF85=4</formula>
    </cfRule>
    <cfRule type="expression" dxfId="1820" priority="794">
      <formula>$AF85=3</formula>
    </cfRule>
    <cfRule type="expression" dxfId="1819" priority="795">
      <formula>$AF85=2</formula>
    </cfRule>
    <cfRule type="expression" dxfId="1818" priority="796">
      <formula>$AF85=1</formula>
    </cfRule>
  </conditionalFormatting>
  <conditionalFormatting sqref="N85">
    <cfRule type="expression" dxfId="1817" priority="792">
      <formula>$AC85=2</formula>
    </cfRule>
  </conditionalFormatting>
  <conditionalFormatting sqref="N85">
    <cfRule type="expression" dxfId="1816" priority="791">
      <formula>N85&gt;F85</formula>
    </cfRule>
  </conditionalFormatting>
  <conditionalFormatting sqref="G85">
    <cfRule type="expression" dxfId="1815" priority="778">
      <formula>G85&gt;F85</formula>
    </cfRule>
  </conditionalFormatting>
  <conditionalFormatting sqref="J85:K85">
    <cfRule type="expression" dxfId="1814" priority="782">
      <formula>$AD85=4</formula>
    </cfRule>
    <cfRule type="expression" dxfId="1813" priority="783">
      <formula>$AD85=3</formula>
    </cfRule>
    <cfRule type="expression" dxfId="1812" priority="784">
      <formula>$AD85=2</formula>
    </cfRule>
    <cfRule type="expression" dxfId="1811" priority="785">
      <formula>$AD85=1</formula>
    </cfRule>
  </conditionalFormatting>
  <conditionalFormatting sqref="J85:K85">
    <cfRule type="expression" dxfId="1810" priority="781">
      <formula>$AC85=2</formula>
    </cfRule>
  </conditionalFormatting>
  <conditionalFormatting sqref="L85">
    <cfRule type="expression" dxfId="1809" priority="780">
      <formula>$AC85=2</formula>
    </cfRule>
  </conditionalFormatting>
  <conditionalFormatting sqref="G85">
    <cfRule type="expression" dxfId="1808" priority="779">
      <formula>$AC85=2</formula>
    </cfRule>
  </conditionalFormatting>
  <conditionalFormatting sqref="O85">
    <cfRule type="expression" dxfId="1807" priority="777">
      <formula>$AC85=2</formula>
    </cfRule>
  </conditionalFormatting>
  <conditionalFormatting sqref="V85">
    <cfRule type="expression" dxfId="1806" priority="776">
      <formula>$AC85=2</formula>
    </cfRule>
  </conditionalFormatting>
  <conditionalFormatting sqref="U85">
    <cfRule type="expression" dxfId="1805" priority="775">
      <formula>$AC85=2</formula>
    </cfRule>
  </conditionalFormatting>
  <conditionalFormatting sqref="U85">
    <cfRule type="expression" dxfId="1804" priority="774">
      <formula>U85&gt;F85</formula>
    </cfRule>
  </conditionalFormatting>
  <conditionalFormatting sqref="H85">
    <cfRule type="expression" dxfId="1803" priority="771">
      <formula>F85=0</formula>
    </cfRule>
  </conditionalFormatting>
  <conditionalFormatting sqref="I85">
    <cfRule type="expression" dxfId="1802" priority="770">
      <formula>F85=0</formula>
    </cfRule>
  </conditionalFormatting>
  <conditionalFormatting sqref="O85">
    <cfRule type="expression" dxfId="1801" priority="769">
      <formula>F85=0</formula>
    </cfRule>
  </conditionalFormatting>
  <conditionalFormatting sqref="V85">
    <cfRule type="expression" dxfId="1800" priority="768">
      <formula>F85=0</formula>
    </cfRule>
  </conditionalFormatting>
  <conditionalFormatting sqref="AZ99">
    <cfRule type="expression" dxfId="1799" priority="767">
      <formula>$AC99=2</formula>
    </cfRule>
  </conditionalFormatting>
  <conditionalFormatting sqref="AB99">
    <cfRule type="expression" dxfId="1798" priority="765">
      <formula>$AJ$4="Nei"</formula>
    </cfRule>
    <cfRule type="expression" dxfId="1797" priority="766">
      <formula>$AC99=2</formula>
    </cfRule>
  </conditionalFormatting>
  <conditionalFormatting sqref="Q99:R99">
    <cfRule type="expression" dxfId="1796" priority="761">
      <formula>$AE99=4</formula>
    </cfRule>
    <cfRule type="expression" dxfId="1795" priority="762">
      <formula>$AE99=3</formula>
    </cfRule>
    <cfRule type="expression" dxfId="1794" priority="763">
      <formula>$AE99=2</formula>
    </cfRule>
    <cfRule type="expression" dxfId="1793" priority="764">
      <formula>$AE99=1</formula>
    </cfRule>
  </conditionalFormatting>
  <conditionalFormatting sqref="X99:Y99">
    <cfRule type="expression" dxfId="1792" priority="757">
      <formula>$AF99=4</formula>
    </cfRule>
    <cfRule type="expression" dxfId="1791" priority="758">
      <formula>$AF99=3</formula>
    </cfRule>
    <cfRule type="expression" dxfId="1790" priority="759">
      <formula>$AF99=2</formula>
    </cfRule>
    <cfRule type="expression" dxfId="1789" priority="760">
      <formula>$AF99=1</formula>
    </cfRule>
  </conditionalFormatting>
  <conditionalFormatting sqref="X99:Y99">
    <cfRule type="expression" dxfId="1788" priority="756">
      <formula>$AC99=2</formula>
    </cfRule>
  </conditionalFormatting>
  <conditionalFormatting sqref="J99:K99">
    <cfRule type="expression" dxfId="1787" priority="747">
      <formula>$AD99=4</formula>
    </cfRule>
    <cfRule type="expression" dxfId="1786" priority="748">
      <formula>$AD99=3</formula>
    </cfRule>
    <cfRule type="expression" dxfId="1785" priority="749">
      <formula>$AD99=2</formula>
    </cfRule>
    <cfRule type="expression" dxfId="1784" priority="750">
      <formula>$AD99=1</formula>
    </cfRule>
  </conditionalFormatting>
  <conditionalFormatting sqref="J99:K99">
    <cfRule type="expression" dxfId="1783" priority="746">
      <formula>$AC99=2</formula>
    </cfRule>
  </conditionalFormatting>
  <conditionalFormatting sqref="L99">
    <cfRule type="expression" dxfId="1782" priority="745">
      <formula>$AC99=2</formula>
    </cfRule>
  </conditionalFormatting>
  <conditionalFormatting sqref="O99">
    <cfRule type="expression" dxfId="1781" priority="744">
      <formula>$AC99=2</formula>
    </cfRule>
  </conditionalFormatting>
  <conditionalFormatting sqref="V99">
    <cfRule type="expression" dxfId="1780" priority="743">
      <formula>$AC99=2</formula>
    </cfRule>
  </conditionalFormatting>
  <conditionalFormatting sqref="G99">
    <cfRule type="expression" dxfId="1779" priority="742">
      <formula>$AC99=2</formula>
    </cfRule>
  </conditionalFormatting>
  <conditionalFormatting sqref="G99">
    <cfRule type="expression" dxfId="1778" priority="741">
      <formula>G99&gt;F99</formula>
    </cfRule>
  </conditionalFormatting>
  <conditionalFormatting sqref="N99">
    <cfRule type="expression" dxfId="1777" priority="740">
      <formula>$AC99=2</formula>
    </cfRule>
  </conditionalFormatting>
  <conditionalFormatting sqref="N99">
    <cfRule type="expression" dxfId="1776" priority="739">
      <formula>N99&gt;F99</formula>
    </cfRule>
  </conditionalFormatting>
  <conditionalFormatting sqref="U99">
    <cfRule type="expression" dxfId="1775" priority="736">
      <formula>$AC99=2</formula>
    </cfRule>
  </conditionalFormatting>
  <conditionalFormatting sqref="U99">
    <cfRule type="expression" dxfId="1774" priority="735">
      <formula>U99&gt;F99</formula>
    </cfRule>
  </conditionalFormatting>
  <conditionalFormatting sqref="H99">
    <cfRule type="expression" dxfId="1773" priority="732">
      <formula>F99=0</formula>
    </cfRule>
  </conditionalFormatting>
  <conditionalFormatting sqref="I99">
    <cfRule type="expression" dxfId="1772" priority="731">
      <formula>F99=0</formula>
    </cfRule>
  </conditionalFormatting>
  <conditionalFormatting sqref="O99">
    <cfRule type="expression" dxfId="1771" priority="730">
      <formula>F99=0</formula>
    </cfRule>
  </conditionalFormatting>
  <conditionalFormatting sqref="V99">
    <cfRule type="expression" dxfId="1770" priority="729">
      <formula>F99=0</formula>
    </cfRule>
  </conditionalFormatting>
  <conditionalFormatting sqref="X15:Y15">
    <cfRule type="expression" dxfId="1769" priority="725">
      <formula>$AF15=4</formula>
    </cfRule>
    <cfRule type="expression" dxfId="1768" priority="726">
      <formula>$AF15=3</formula>
    </cfRule>
    <cfRule type="expression" dxfId="1767" priority="727">
      <formula>$AF15=2</formula>
    </cfRule>
    <cfRule type="expression" dxfId="1766" priority="728">
      <formula>$AF15=1</formula>
    </cfRule>
  </conditionalFormatting>
  <conditionalFormatting sqref="X15:Y15">
    <cfRule type="expression" dxfId="1765" priority="724">
      <formula>$AC15=2</formula>
    </cfRule>
  </conditionalFormatting>
  <conditionalFormatting sqref="V15">
    <cfRule type="expression" dxfId="1764" priority="721">
      <formula>$AC15=2</formula>
    </cfRule>
  </conditionalFormatting>
  <conditionalFormatting sqref="U15">
    <cfRule type="expression" dxfId="1763" priority="720">
      <formula>$AC15=2</formula>
    </cfRule>
  </conditionalFormatting>
  <conditionalFormatting sqref="U15">
    <cfRule type="expression" dxfId="1762" priority="719">
      <formula>U15&gt;F15</formula>
    </cfRule>
  </conditionalFormatting>
  <conditionalFormatting sqref="V15">
    <cfRule type="expression" dxfId="1761" priority="716">
      <formula>F15=0</formula>
    </cfRule>
  </conditionalFormatting>
  <conditionalFormatting sqref="L172">
    <cfRule type="expression" dxfId="1760" priority="714">
      <formula>$AC172=2</formula>
    </cfRule>
  </conditionalFormatting>
  <conditionalFormatting sqref="L176">
    <cfRule type="expression" dxfId="1759" priority="707">
      <formula>$AC176=2</formula>
    </cfRule>
  </conditionalFormatting>
  <conditionalFormatting sqref="J133:J136">
    <cfRule type="expression" dxfId="1758" priority="701">
      <formula>$AD133=4</formula>
    </cfRule>
    <cfRule type="expression" dxfId="1757" priority="702">
      <formula>$AD133=3</formula>
    </cfRule>
    <cfRule type="expression" dxfId="1756" priority="703">
      <formula>$AD133=2</formula>
    </cfRule>
    <cfRule type="expression" dxfId="1755" priority="704">
      <formula>$AD133=1</formula>
    </cfRule>
  </conditionalFormatting>
  <conditionalFormatting sqref="J133:J136">
    <cfRule type="expression" dxfId="1754" priority="700">
      <formula>$AC133=2</formula>
    </cfRule>
  </conditionalFormatting>
  <conditionalFormatting sqref="L14">
    <cfRule type="expression" dxfId="1753" priority="699">
      <formula>$AC14=2</formula>
    </cfRule>
  </conditionalFormatting>
  <conditionalFormatting sqref="P36:P37">
    <cfRule type="expression" dxfId="1752" priority="688">
      <formula>$AE36=4</formula>
    </cfRule>
    <cfRule type="expression" dxfId="1751" priority="689">
      <formula>$AE36=3</formula>
    </cfRule>
    <cfRule type="expression" dxfId="1750" priority="690">
      <formula>$AE36=2</formula>
    </cfRule>
    <cfRule type="expression" dxfId="1749" priority="691">
      <formula>$AE36=1</formula>
    </cfRule>
  </conditionalFormatting>
  <conditionalFormatting sqref="P36:P37">
    <cfRule type="expression" dxfId="1748" priority="687">
      <formula>$AC36=2</formula>
    </cfRule>
  </conditionalFormatting>
  <conditionalFormatting sqref="P64:P65">
    <cfRule type="expression" dxfId="1747" priority="681">
      <formula>$AE64=4</formula>
    </cfRule>
    <cfRule type="expression" dxfId="1746" priority="682">
      <formula>$AE64=3</formula>
    </cfRule>
    <cfRule type="expression" dxfId="1745" priority="683">
      <formula>$AE64=2</formula>
    </cfRule>
    <cfRule type="expression" dxfId="1744" priority="684">
      <formula>$AE64=1</formula>
    </cfRule>
  </conditionalFormatting>
  <conditionalFormatting sqref="P64:P65">
    <cfRule type="expression" dxfId="1743" priority="680">
      <formula>$AC64=2</formula>
    </cfRule>
  </conditionalFormatting>
  <conditionalFormatting sqref="P93:P94">
    <cfRule type="expression" dxfId="1742" priority="674">
      <formula>$AE93=4</formula>
    </cfRule>
    <cfRule type="expression" dxfId="1741" priority="675">
      <formula>$AE93=3</formula>
    </cfRule>
    <cfRule type="expression" dxfId="1740" priority="676">
      <formula>$AE93=2</formula>
    </cfRule>
    <cfRule type="expression" dxfId="1739" priority="677">
      <formula>$AE93=1</formula>
    </cfRule>
  </conditionalFormatting>
  <conditionalFormatting sqref="P93:P94">
    <cfRule type="expression" dxfId="1738" priority="673">
      <formula>$AC93=2</formula>
    </cfRule>
  </conditionalFormatting>
  <conditionalFormatting sqref="P102:P103">
    <cfRule type="expression" dxfId="1737" priority="667">
      <formula>$AE102=4</formula>
    </cfRule>
    <cfRule type="expression" dxfId="1736" priority="668">
      <formula>$AE102=3</formula>
    </cfRule>
    <cfRule type="expression" dxfId="1735" priority="669">
      <formula>$AE102=2</formula>
    </cfRule>
    <cfRule type="expression" dxfId="1734" priority="670">
      <formula>$AE102=1</formula>
    </cfRule>
  </conditionalFormatting>
  <conditionalFormatting sqref="P102:P103">
    <cfRule type="expression" dxfId="1733" priority="666">
      <formula>$AC102=2</formula>
    </cfRule>
  </conditionalFormatting>
  <conditionalFormatting sqref="P116:P117">
    <cfRule type="expression" dxfId="1732" priority="660">
      <formula>$AE116=4</formula>
    </cfRule>
    <cfRule type="expression" dxfId="1731" priority="661">
      <formula>$AE116=3</formula>
    </cfRule>
    <cfRule type="expression" dxfId="1730" priority="662">
      <formula>$AE116=2</formula>
    </cfRule>
    <cfRule type="expression" dxfId="1729" priority="663">
      <formula>$AE116=1</formula>
    </cfRule>
  </conditionalFormatting>
  <conditionalFormatting sqref="P116:P117">
    <cfRule type="expression" dxfId="1728" priority="659">
      <formula>$AC116=2</formula>
    </cfRule>
  </conditionalFormatting>
  <conditionalFormatting sqref="P146:P147">
    <cfRule type="expression" dxfId="1727" priority="653">
      <formula>$AE146=4</formula>
    </cfRule>
    <cfRule type="expression" dxfId="1726" priority="654">
      <formula>$AE146=3</formula>
    </cfRule>
    <cfRule type="expression" dxfId="1725" priority="655">
      <formula>$AE146=2</formula>
    </cfRule>
    <cfRule type="expression" dxfId="1724" priority="656">
      <formula>$AE146=1</formula>
    </cfRule>
  </conditionalFormatting>
  <conditionalFormatting sqref="P146:P147">
    <cfRule type="expression" dxfId="1723" priority="652">
      <formula>$AC146=2</formula>
    </cfRule>
  </conditionalFormatting>
  <conditionalFormatting sqref="P161:P162">
    <cfRule type="expression" dxfId="1722" priority="646">
      <formula>$AE161=4</formula>
    </cfRule>
    <cfRule type="expression" dxfId="1721" priority="647">
      <formula>$AE161=3</formula>
    </cfRule>
    <cfRule type="expression" dxfId="1720" priority="648">
      <formula>$AE161=2</formula>
    </cfRule>
    <cfRule type="expression" dxfId="1719" priority="649">
      <formula>$AE161=1</formula>
    </cfRule>
  </conditionalFormatting>
  <conditionalFormatting sqref="P161:P162">
    <cfRule type="expression" dxfId="1718" priority="645">
      <formula>$AC161=2</formula>
    </cfRule>
  </conditionalFormatting>
  <conditionalFormatting sqref="P192:P193">
    <cfRule type="expression" dxfId="1717" priority="639">
      <formula>$AE192=4</formula>
    </cfRule>
    <cfRule type="expression" dxfId="1716" priority="640">
      <formula>$AE192=3</formula>
    </cfRule>
    <cfRule type="expression" dxfId="1715" priority="641">
      <formula>$AE192=2</formula>
    </cfRule>
    <cfRule type="expression" dxfId="1714" priority="642">
      <formula>$AE192=1</formula>
    </cfRule>
  </conditionalFormatting>
  <conditionalFormatting sqref="P192:P193">
    <cfRule type="expression" dxfId="1713" priority="638">
      <formula>$AC192=2</formula>
    </cfRule>
  </conditionalFormatting>
  <conditionalFormatting sqref="P209:P210">
    <cfRule type="expression" dxfId="1712" priority="632">
      <formula>$AE209=4</formula>
    </cfRule>
    <cfRule type="expression" dxfId="1711" priority="633">
      <formula>$AE209=3</formula>
    </cfRule>
    <cfRule type="expression" dxfId="1710" priority="634">
      <formula>$AE209=2</formula>
    </cfRule>
    <cfRule type="expression" dxfId="1709" priority="635">
      <formula>$AE209=1</formula>
    </cfRule>
  </conditionalFormatting>
  <conditionalFormatting sqref="P209:P210">
    <cfRule type="expression" dxfId="1708" priority="631">
      <formula>$AC209=2</formula>
    </cfRule>
  </conditionalFormatting>
  <conditionalFormatting sqref="W36:W37">
    <cfRule type="expression" dxfId="1707" priority="603">
      <formula>$AE36=4</formula>
    </cfRule>
    <cfRule type="expression" dxfId="1706" priority="604">
      <formula>$AE36=3</formula>
    </cfRule>
    <cfRule type="expression" dxfId="1705" priority="605">
      <formula>$AE36=2</formula>
    </cfRule>
    <cfRule type="expression" dxfId="1704" priority="606">
      <formula>$AE36=1</formula>
    </cfRule>
  </conditionalFormatting>
  <conditionalFormatting sqref="W36:W37">
    <cfRule type="expression" dxfId="1703" priority="602">
      <formula>$AC36=2</formula>
    </cfRule>
  </conditionalFormatting>
  <conditionalFormatting sqref="W64:W65">
    <cfRule type="expression" dxfId="1702" priority="596">
      <formula>$AE64=4</formula>
    </cfRule>
    <cfRule type="expression" dxfId="1701" priority="597">
      <formula>$AE64=3</formula>
    </cfRule>
    <cfRule type="expression" dxfId="1700" priority="598">
      <formula>$AE64=2</formula>
    </cfRule>
    <cfRule type="expression" dxfId="1699" priority="599">
      <formula>$AE64=1</formula>
    </cfRule>
  </conditionalFormatting>
  <conditionalFormatting sqref="W64:W65">
    <cfRule type="expression" dxfId="1698" priority="595">
      <formula>$AC64=2</formula>
    </cfRule>
  </conditionalFormatting>
  <conditionalFormatting sqref="W93:W94">
    <cfRule type="expression" dxfId="1697" priority="589">
      <formula>$AE93=4</formula>
    </cfRule>
    <cfRule type="expression" dxfId="1696" priority="590">
      <formula>$AE93=3</formula>
    </cfRule>
    <cfRule type="expression" dxfId="1695" priority="591">
      <formula>$AE93=2</formula>
    </cfRule>
    <cfRule type="expression" dxfId="1694" priority="592">
      <formula>$AE93=1</formula>
    </cfRule>
  </conditionalFormatting>
  <conditionalFormatting sqref="W93:W94">
    <cfRule type="expression" dxfId="1693" priority="588">
      <formula>$AC93=2</formula>
    </cfRule>
  </conditionalFormatting>
  <conditionalFormatting sqref="W102:W103">
    <cfRule type="expression" dxfId="1692" priority="582">
      <formula>$AE102=4</formula>
    </cfRule>
    <cfRule type="expression" dxfId="1691" priority="583">
      <formula>$AE102=3</formula>
    </cfRule>
    <cfRule type="expression" dxfId="1690" priority="584">
      <formula>$AE102=2</formula>
    </cfRule>
    <cfRule type="expression" dxfId="1689" priority="585">
      <formula>$AE102=1</formula>
    </cfRule>
  </conditionalFormatting>
  <conditionalFormatting sqref="W102:W103">
    <cfRule type="expression" dxfId="1688" priority="581">
      <formula>$AC102=2</formula>
    </cfRule>
  </conditionalFormatting>
  <conditionalFormatting sqref="W116:W117">
    <cfRule type="expression" dxfId="1687" priority="575">
      <formula>$AE116=4</formula>
    </cfRule>
    <cfRule type="expression" dxfId="1686" priority="576">
      <formula>$AE116=3</formula>
    </cfRule>
    <cfRule type="expression" dxfId="1685" priority="577">
      <formula>$AE116=2</formula>
    </cfRule>
    <cfRule type="expression" dxfId="1684" priority="578">
      <formula>$AE116=1</formula>
    </cfRule>
  </conditionalFormatting>
  <conditionalFormatting sqref="W116:W117">
    <cfRule type="expression" dxfId="1683" priority="574">
      <formula>$AC116=2</formula>
    </cfRule>
  </conditionalFormatting>
  <conditionalFormatting sqref="W146:W147">
    <cfRule type="expression" dxfId="1682" priority="568">
      <formula>$AE146=4</formula>
    </cfRule>
    <cfRule type="expression" dxfId="1681" priority="569">
      <formula>$AE146=3</formula>
    </cfRule>
    <cfRule type="expression" dxfId="1680" priority="570">
      <formula>$AE146=2</formula>
    </cfRule>
    <cfRule type="expression" dxfId="1679" priority="571">
      <formula>$AE146=1</formula>
    </cfRule>
  </conditionalFormatting>
  <conditionalFormatting sqref="W146:W147">
    <cfRule type="expression" dxfId="1678" priority="567">
      <formula>$AC146=2</formula>
    </cfRule>
  </conditionalFormatting>
  <conditionalFormatting sqref="W161:W162">
    <cfRule type="expression" dxfId="1677" priority="561">
      <formula>$AE161=4</formula>
    </cfRule>
    <cfRule type="expression" dxfId="1676" priority="562">
      <formula>$AE161=3</formula>
    </cfRule>
    <cfRule type="expression" dxfId="1675" priority="563">
      <formula>$AE161=2</formula>
    </cfRule>
    <cfRule type="expression" dxfId="1674" priority="564">
      <formula>$AE161=1</formula>
    </cfRule>
  </conditionalFormatting>
  <conditionalFormatting sqref="W161:W162">
    <cfRule type="expression" dxfId="1673" priority="560">
      <formula>$AC161=2</formula>
    </cfRule>
  </conditionalFormatting>
  <conditionalFormatting sqref="W192:W193">
    <cfRule type="expression" dxfId="1672" priority="554">
      <formula>$AE192=4</formula>
    </cfRule>
    <cfRule type="expression" dxfId="1671" priority="555">
      <formula>$AE192=3</formula>
    </cfRule>
    <cfRule type="expression" dxfId="1670" priority="556">
      <formula>$AE192=2</formula>
    </cfRule>
    <cfRule type="expression" dxfId="1669" priority="557">
      <formula>$AE192=1</formula>
    </cfRule>
  </conditionalFormatting>
  <conditionalFormatting sqref="W192:W193">
    <cfRule type="expression" dxfId="1668" priority="553">
      <formula>$AC192=2</formula>
    </cfRule>
  </conditionalFormatting>
  <conditionalFormatting sqref="W209:W210">
    <cfRule type="expression" dxfId="1667" priority="547">
      <formula>$AE209=4</formula>
    </cfRule>
    <cfRule type="expression" dxfId="1666" priority="548">
      <formula>$AE209=3</formula>
    </cfRule>
    <cfRule type="expression" dxfId="1665" priority="549">
      <formula>$AE209=2</formula>
    </cfRule>
    <cfRule type="expression" dxfId="1664" priority="550">
      <formula>$AE209=1</formula>
    </cfRule>
  </conditionalFormatting>
  <conditionalFormatting sqref="W209:W210">
    <cfRule type="expression" dxfId="1663" priority="546">
      <formula>$AC209=2</formula>
    </cfRule>
  </conditionalFormatting>
  <conditionalFormatting sqref="S102:S103 S31 S20 S27 S146:S147 S35:S37 S64:S65 S93:S94 S116:S117 S161:S162 S192:S193 S195 S209:S212 S44:S45 S86 Z195 Z191:Z193 Z160:Z162 Z115:Z117 Z92:Z94 Z63:Z65 Z31 Z101:Z103 Z35:Z37 Z27 Z17:Z20 Z84">
    <cfRule type="expression" dxfId="1662" priority="521">
      <formula>$AA17=2</formula>
    </cfRule>
  </conditionalFormatting>
  <conditionalFormatting sqref="S13">
    <cfRule type="expression" dxfId="1661" priority="516">
      <formula>$AA13=2</formula>
    </cfRule>
  </conditionalFormatting>
  <conditionalFormatting sqref="S16">
    <cfRule type="expression" dxfId="1660" priority="519">
      <formula>$AA16=2</formula>
    </cfRule>
  </conditionalFormatting>
  <conditionalFormatting sqref="S17:S19">
    <cfRule type="expression" dxfId="1659" priority="520">
      <formula>$AA17=2</formula>
    </cfRule>
  </conditionalFormatting>
  <conditionalFormatting sqref="S15">
    <cfRule type="expression" dxfId="1658" priority="518">
      <formula>$AA15=2</formula>
    </cfRule>
  </conditionalFormatting>
  <conditionalFormatting sqref="S14">
    <cfRule type="expression" dxfId="1657" priority="517">
      <formula>$AA14=2</formula>
    </cfRule>
  </conditionalFormatting>
  <conditionalFormatting sqref="S12">
    <cfRule type="expression" dxfId="1656" priority="515">
      <formula>$AA12=2</formula>
    </cfRule>
  </conditionalFormatting>
  <conditionalFormatting sqref="S21">
    <cfRule type="expression" dxfId="1655" priority="514">
      <formula>$AA21=2</formula>
    </cfRule>
  </conditionalFormatting>
  <conditionalFormatting sqref="S22">
    <cfRule type="expression" dxfId="1654" priority="513">
      <formula>$AA22=2</formula>
    </cfRule>
  </conditionalFormatting>
  <conditionalFormatting sqref="S23">
    <cfRule type="expression" dxfId="1653" priority="512">
      <formula>$AA23=2</formula>
    </cfRule>
  </conditionalFormatting>
  <conditionalFormatting sqref="S24">
    <cfRule type="expression" dxfId="1652" priority="511">
      <formula>$AA24=2</formula>
    </cfRule>
  </conditionalFormatting>
  <conditionalFormatting sqref="S28">
    <cfRule type="expression" dxfId="1651" priority="510">
      <formula>$AA28=2</formula>
    </cfRule>
  </conditionalFormatting>
  <conditionalFormatting sqref="S29">
    <cfRule type="expression" dxfId="1650" priority="509">
      <formula>$AA29=2</formula>
    </cfRule>
  </conditionalFormatting>
  <conditionalFormatting sqref="S30">
    <cfRule type="expression" dxfId="1649" priority="508">
      <formula>$AA30=2</formula>
    </cfRule>
  </conditionalFormatting>
  <conditionalFormatting sqref="S32">
    <cfRule type="expression" dxfId="1648" priority="507">
      <formula>$AA32=2</formula>
    </cfRule>
  </conditionalFormatting>
  <conditionalFormatting sqref="S33">
    <cfRule type="expression" dxfId="1647" priority="506">
      <formula>$AA33=2</formula>
    </cfRule>
  </conditionalFormatting>
  <conditionalFormatting sqref="S34">
    <cfRule type="expression" dxfId="1646" priority="505">
      <formula>$AA34=2</formula>
    </cfRule>
  </conditionalFormatting>
  <conditionalFormatting sqref="S38:S40">
    <cfRule type="expression" dxfId="1645" priority="504">
      <formula>$AA38=2</formula>
    </cfRule>
  </conditionalFormatting>
  <conditionalFormatting sqref="S66">
    <cfRule type="expression" dxfId="1644" priority="503">
      <formula>$AA66=2</formula>
    </cfRule>
  </conditionalFormatting>
  <conditionalFormatting sqref="S95">
    <cfRule type="expression" dxfId="1643" priority="502">
      <formula>$AA95=2</formula>
    </cfRule>
  </conditionalFormatting>
  <conditionalFormatting sqref="S104">
    <cfRule type="expression" dxfId="1642" priority="501">
      <formula>$AA104=2</formula>
    </cfRule>
  </conditionalFormatting>
  <conditionalFormatting sqref="S118">
    <cfRule type="expression" dxfId="1641" priority="500">
      <formula>$AA118=2</formula>
    </cfRule>
  </conditionalFormatting>
  <conditionalFormatting sqref="S148">
    <cfRule type="expression" dxfId="1640" priority="499">
      <formula>$AA148=2</formula>
    </cfRule>
  </conditionalFormatting>
  <conditionalFormatting sqref="S163">
    <cfRule type="expression" dxfId="1639" priority="498">
      <formula>$AA163=2</formula>
    </cfRule>
  </conditionalFormatting>
  <conditionalFormatting sqref="S194">
    <cfRule type="expression" dxfId="1638" priority="497">
      <formula>$AA194=2</formula>
    </cfRule>
  </conditionalFormatting>
  <conditionalFormatting sqref="S46">
    <cfRule type="expression" dxfId="1637" priority="496">
      <formula>$AA46=2</formula>
    </cfRule>
  </conditionalFormatting>
  <conditionalFormatting sqref="S51">
    <cfRule type="expression" dxfId="1636" priority="495">
      <formula>$AA51=2</formula>
    </cfRule>
  </conditionalFormatting>
  <conditionalFormatting sqref="S55">
    <cfRule type="expression" dxfId="1635" priority="494">
      <formula>$AA55=2</formula>
    </cfRule>
  </conditionalFormatting>
  <conditionalFormatting sqref="S58">
    <cfRule type="expression" dxfId="1634" priority="493">
      <formula>$AA58=2</formula>
    </cfRule>
  </conditionalFormatting>
  <conditionalFormatting sqref="S61">
    <cfRule type="expression" dxfId="1633" priority="492">
      <formula>$AA61=2</formula>
    </cfRule>
  </conditionalFormatting>
  <conditionalFormatting sqref="S73">
    <cfRule type="expression" dxfId="1632" priority="491">
      <formula>$AA73=2</formula>
    </cfRule>
  </conditionalFormatting>
  <conditionalFormatting sqref="S77">
    <cfRule type="expression" dxfId="1631" priority="490">
      <formula>$AA77=2</formula>
    </cfRule>
  </conditionalFormatting>
  <conditionalFormatting sqref="S80">
    <cfRule type="expression" dxfId="1630" priority="489">
      <formula>$AA80=2</formula>
    </cfRule>
  </conditionalFormatting>
  <conditionalFormatting sqref="S83">
    <cfRule type="expression" dxfId="1629" priority="488">
      <formula>$AA83=2</formula>
    </cfRule>
  </conditionalFormatting>
  <conditionalFormatting sqref="S87">
    <cfRule type="expression" dxfId="1628" priority="487">
      <formula>$AA87=2</formula>
    </cfRule>
  </conditionalFormatting>
  <conditionalFormatting sqref="S90">
    <cfRule type="expression" dxfId="1627" priority="486">
      <formula>$AA90=2</formula>
    </cfRule>
  </conditionalFormatting>
  <conditionalFormatting sqref="S98">
    <cfRule type="expression" dxfId="1626" priority="485">
      <formula>$AA98=2</formula>
    </cfRule>
  </conditionalFormatting>
  <conditionalFormatting sqref="S107">
    <cfRule type="expression" dxfId="1625" priority="484">
      <formula>$AA107=2</formula>
    </cfRule>
  </conditionalFormatting>
  <conditionalFormatting sqref="S109">
    <cfRule type="expression" dxfId="1624" priority="483">
      <formula>$AA109=2</formula>
    </cfRule>
  </conditionalFormatting>
  <conditionalFormatting sqref="S113">
    <cfRule type="expression" dxfId="1623" priority="482">
      <formula>$AA113=2</formula>
    </cfRule>
  </conditionalFormatting>
  <conditionalFormatting sqref="S122">
    <cfRule type="expression" dxfId="1622" priority="481">
      <formula>$AA122=2</formula>
    </cfRule>
  </conditionalFormatting>
  <conditionalFormatting sqref="S126">
    <cfRule type="expression" dxfId="1621" priority="480">
      <formula>$AA126=2</formula>
    </cfRule>
  </conditionalFormatting>
  <conditionalFormatting sqref="S130">
    <cfRule type="expression" dxfId="1620" priority="479">
      <formula>$AA130=2</formula>
    </cfRule>
  </conditionalFormatting>
  <conditionalFormatting sqref="S136">
    <cfRule type="expression" dxfId="1619" priority="478">
      <formula>$AA136=2</formula>
    </cfRule>
  </conditionalFormatting>
  <conditionalFormatting sqref="S141">
    <cfRule type="expression" dxfId="1618" priority="477">
      <formula>$AA141=2</formula>
    </cfRule>
  </conditionalFormatting>
  <conditionalFormatting sqref="S154">
    <cfRule type="expression" dxfId="1617" priority="476">
      <formula>$AA154=2</formula>
    </cfRule>
  </conditionalFormatting>
  <conditionalFormatting sqref="S156">
    <cfRule type="expression" dxfId="1616" priority="475">
      <formula>$AA156=2</formula>
    </cfRule>
  </conditionalFormatting>
  <conditionalFormatting sqref="S158">
    <cfRule type="expression" dxfId="1615" priority="474">
      <formula>$AA158=2</formula>
    </cfRule>
  </conditionalFormatting>
  <conditionalFormatting sqref="S166">
    <cfRule type="expression" dxfId="1614" priority="473">
      <formula>$AA166=2</formula>
    </cfRule>
  </conditionalFormatting>
  <conditionalFormatting sqref="S170">
    <cfRule type="expression" dxfId="1613" priority="472">
      <formula>$AA170=2</formula>
    </cfRule>
  </conditionalFormatting>
  <conditionalFormatting sqref="S177">
    <cfRule type="expression" dxfId="1612" priority="471">
      <formula>$AA177=2</formula>
    </cfRule>
  </conditionalFormatting>
  <conditionalFormatting sqref="S181">
    <cfRule type="expression" dxfId="1611" priority="470">
      <formula>$AA181=2</formula>
    </cfRule>
  </conditionalFormatting>
  <conditionalFormatting sqref="S183">
    <cfRule type="expression" dxfId="1610" priority="469">
      <formula>$AA183=2</formula>
    </cfRule>
  </conditionalFormatting>
  <conditionalFormatting sqref="S186">
    <cfRule type="expression" dxfId="1609" priority="468">
      <formula>$AA186=2</formula>
    </cfRule>
  </conditionalFormatting>
  <conditionalFormatting sqref="S199">
    <cfRule type="expression" dxfId="1608" priority="467">
      <formula>$AA199=2</formula>
    </cfRule>
  </conditionalFormatting>
  <conditionalFormatting sqref="S202">
    <cfRule type="expression" dxfId="1607" priority="466">
      <formula>$AA202=2</formula>
    </cfRule>
  </conditionalFormatting>
  <conditionalFormatting sqref="S205">
    <cfRule type="expression" dxfId="1606" priority="465">
      <formula>$AA205=2</formula>
    </cfRule>
  </conditionalFormatting>
  <conditionalFormatting sqref="S41:S42">
    <cfRule type="expression" dxfId="1605" priority="464">
      <formula>$AA41=2</formula>
    </cfRule>
  </conditionalFormatting>
  <conditionalFormatting sqref="S47:S50">
    <cfRule type="expression" dxfId="1604" priority="463">
      <formula>$AA47=2</formula>
    </cfRule>
  </conditionalFormatting>
  <conditionalFormatting sqref="S52:S54">
    <cfRule type="expression" dxfId="1603" priority="462">
      <formula>$AA52=2</formula>
    </cfRule>
  </conditionalFormatting>
  <conditionalFormatting sqref="S56">
    <cfRule type="expression" dxfId="1602" priority="461">
      <formula>$AA56=2</formula>
    </cfRule>
  </conditionalFormatting>
  <conditionalFormatting sqref="S59:S60">
    <cfRule type="expression" dxfId="1601" priority="460">
      <formula>$AA59=2</formula>
    </cfRule>
  </conditionalFormatting>
  <conditionalFormatting sqref="S62">
    <cfRule type="expression" dxfId="1600" priority="459">
      <formula>$AA62=2</formula>
    </cfRule>
  </conditionalFormatting>
  <conditionalFormatting sqref="S67:S72">
    <cfRule type="expression" dxfId="1599" priority="458">
      <formula>$AA67=2</formula>
    </cfRule>
  </conditionalFormatting>
  <conditionalFormatting sqref="S74:S76">
    <cfRule type="expression" dxfId="1598" priority="457">
      <formula>$AA74=2</formula>
    </cfRule>
  </conditionalFormatting>
  <conditionalFormatting sqref="S78:S79">
    <cfRule type="expression" dxfId="1597" priority="456">
      <formula>$AA78=2</formula>
    </cfRule>
  </conditionalFormatting>
  <conditionalFormatting sqref="S81:S82">
    <cfRule type="expression" dxfId="1596" priority="455">
      <formula>$AA81=2</formula>
    </cfRule>
  </conditionalFormatting>
  <conditionalFormatting sqref="S84">
    <cfRule type="expression" dxfId="1595" priority="454">
      <formula>$AA84=2</formula>
    </cfRule>
  </conditionalFormatting>
  <conditionalFormatting sqref="S88:S89">
    <cfRule type="expression" dxfId="1594" priority="453">
      <formula>$AA88=2</formula>
    </cfRule>
  </conditionalFormatting>
  <conditionalFormatting sqref="S91">
    <cfRule type="expression" dxfId="1593" priority="452">
      <formula>$AA91=2</formula>
    </cfRule>
  </conditionalFormatting>
  <conditionalFormatting sqref="S96:S97">
    <cfRule type="expression" dxfId="1592" priority="451">
      <formula>$AA96=2</formula>
    </cfRule>
  </conditionalFormatting>
  <conditionalFormatting sqref="S100">
    <cfRule type="expression" dxfId="1591" priority="450">
      <formula>$AA100=2</formula>
    </cfRule>
  </conditionalFormatting>
  <conditionalFormatting sqref="S106">
    <cfRule type="expression" dxfId="1590" priority="449">
      <formula>$AA106=2</formula>
    </cfRule>
  </conditionalFormatting>
  <conditionalFormatting sqref="S108">
    <cfRule type="expression" dxfId="1589" priority="448">
      <formula>$AA108=2</formula>
    </cfRule>
  </conditionalFormatting>
  <conditionalFormatting sqref="S110:S112">
    <cfRule type="expression" dxfId="1588" priority="447">
      <formula>$AA110=2</formula>
    </cfRule>
  </conditionalFormatting>
  <conditionalFormatting sqref="S114">
    <cfRule type="expression" dxfId="1587" priority="446">
      <formula>$AA114=2</formula>
    </cfRule>
  </conditionalFormatting>
  <conditionalFormatting sqref="S119:S120">
    <cfRule type="expression" dxfId="1586" priority="445">
      <formula>$AA119=2</formula>
    </cfRule>
  </conditionalFormatting>
  <conditionalFormatting sqref="S121">
    <cfRule type="expression" dxfId="1585" priority="444">
      <formula>$AA121=2</formula>
    </cfRule>
  </conditionalFormatting>
  <conditionalFormatting sqref="S123:S124">
    <cfRule type="expression" dxfId="1584" priority="443">
      <formula>$AA123=2</formula>
    </cfRule>
  </conditionalFormatting>
  <conditionalFormatting sqref="S127:S129">
    <cfRule type="expression" dxfId="1583" priority="442">
      <formula>$AA127=2</formula>
    </cfRule>
  </conditionalFormatting>
  <conditionalFormatting sqref="S131:S134">
    <cfRule type="expression" dxfId="1582" priority="441">
      <formula>$AA131=2</formula>
    </cfRule>
  </conditionalFormatting>
  <conditionalFormatting sqref="S138:S140">
    <cfRule type="expression" dxfId="1581" priority="440">
      <formula>$AA138=2</formula>
    </cfRule>
  </conditionalFormatting>
  <conditionalFormatting sqref="S142:S144">
    <cfRule type="expression" dxfId="1580" priority="439">
      <formula>$AA142=2</formula>
    </cfRule>
  </conditionalFormatting>
  <conditionalFormatting sqref="S150:S153">
    <cfRule type="expression" dxfId="1579" priority="438">
      <formula>$AA150=2</formula>
    </cfRule>
  </conditionalFormatting>
  <conditionalFormatting sqref="S155">
    <cfRule type="expression" dxfId="1578" priority="437">
      <formula>$AA155=2</formula>
    </cfRule>
  </conditionalFormatting>
  <conditionalFormatting sqref="S159">
    <cfRule type="expression" dxfId="1577" priority="436">
      <formula>$AA159=2</formula>
    </cfRule>
  </conditionalFormatting>
  <conditionalFormatting sqref="S164:S165">
    <cfRule type="expression" dxfId="1576" priority="435">
      <formula>$AA164=2</formula>
    </cfRule>
  </conditionalFormatting>
  <conditionalFormatting sqref="S167:S169">
    <cfRule type="expression" dxfId="1575" priority="434">
      <formula>$AA167=2</formula>
    </cfRule>
  </conditionalFormatting>
  <conditionalFormatting sqref="S174:S176">
    <cfRule type="expression" dxfId="1574" priority="433">
      <formula>$AA174=2</formula>
    </cfRule>
  </conditionalFormatting>
  <conditionalFormatting sqref="S178:S180">
    <cfRule type="expression" dxfId="1573" priority="432">
      <formula>$AA178=2</formula>
    </cfRule>
  </conditionalFormatting>
  <conditionalFormatting sqref="S182">
    <cfRule type="expression" dxfId="1572" priority="431">
      <formula>$AA182=2</formula>
    </cfRule>
  </conditionalFormatting>
  <conditionalFormatting sqref="S184:S185">
    <cfRule type="expression" dxfId="1571" priority="430">
      <formula>$AA184=2</formula>
    </cfRule>
  </conditionalFormatting>
  <conditionalFormatting sqref="S187:S190">
    <cfRule type="expression" dxfId="1570" priority="429">
      <formula>$AA187=2</formula>
    </cfRule>
  </conditionalFormatting>
  <conditionalFormatting sqref="S200:S201">
    <cfRule type="expression" dxfId="1569" priority="428">
      <formula>$AA200=2</formula>
    </cfRule>
  </conditionalFormatting>
  <conditionalFormatting sqref="S203:S204">
    <cfRule type="expression" dxfId="1568" priority="427">
      <formula>$AA203=2</formula>
    </cfRule>
  </conditionalFormatting>
  <conditionalFormatting sqref="S206:S207">
    <cfRule type="expression" dxfId="1567" priority="426">
      <formula>$AA206=2</formula>
    </cfRule>
  </conditionalFormatting>
  <conditionalFormatting sqref="S198">
    <cfRule type="expression" dxfId="1566" priority="425">
      <formula>$AA198=2</formula>
    </cfRule>
  </conditionalFormatting>
  <conditionalFormatting sqref="S63">
    <cfRule type="expression" dxfId="1565" priority="424">
      <formula>$AA63=2</formula>
    </cfRule>
  </conditionalFormatting>
  <conditionalFormatting sqref="S92">
    <cfRule type="expression" dxfId="1564" priority="423">
      <formula>$AA92=2</formula>
    </cfRule>
  </conditionalFormatting>
  <conditionalFormatting sqref="S101">
    <cfRule type="expression" dxfId="1563" priority="422">
      <formula>$AA101=2</formula>
    </cfRule>
  </conditionalFormatting>
  <conditionalFormatting sqref="S115">
    <cfRule type="expression" dxfId="1562" priority="421">
      <formula>$AA115=2</formula>
    </cfRule>
  </conditionalFormatting>
  <conditionalFormatting sqref="S145">
    <cfRule type="expression" dxfId="1561" priority="420">
      <formula>$AA145=2</formula>
    </cfRule>
  </conditionalFormatting>
  <conditionalFormatting sqref="S160">
    <cfRule type="expression" dxfId="1560" priority="419">
      <formula>$AA160=2</formula>
    </cfRule>
  </conditionalFormatting>
  <conditionalFormatting sqref="S191">
    <cfRule type="expression" dxfId="1559" priority="418">
      <formula>$AA191=2</formula>
    </cfRule>
  </conditionalFormatting>
  <conditionalFormatting sqref="S208">
    <cfRule type="expression" dxfId="1558" priority="417">
      <formula>$AA208=2</formula>
    </cfRule>
  </conditionalFormatting>
  <conditionalFormatting sqref="S135">
    <cfRule type="expression" dxfId="1557" priority="416">
      <formula>$AA135=2</formula>
    </cfRule>
  </conditionalFormatting>
  <conditionalFormatting sqref="S197">
    <cfRule type="expression" dxfId="1556" priority="415">
      <formula>$AA197=2</formula>
    </cfRule>
  </conditionalFormatting>
  <conditionalFormatting sqref="S196">
    <cfRule type="expression" dxfId="1555" priority="414">
      <formula>$AA196=2</formula>
    </cfRule>
  </conditionalFormatting>
  <conditionalFormatting sqref="S25">
    <cfRule type="expression" dxfId="1554" priority="413">
      <formula>$AA25=2</formula>
    </cfRule>
  </conditionalFormatting>
  <conditionalFormatting sqref="S26">
    <cfRule type="expression" dxfId="1553" priority="412">
      <formula>$AA26=2</formula>
    </cfRule>
  </conditionalFormatting>
  <conditionalFormatting sqref="S85">
    <cfRule type="expression" dxfId="1552" priority="411">
      <formula>$AA85=2</formula>
    </cfRule>
  </conditionalFormatting>
  <conditionalFormatting sqref="S99">
    <cfRule type="expression" dxfId="1551" priority="410">
      <formula>$AA99=2</formula>
    </cfRule>
  </conditionalFormatting>
  <conditionalFormatting sqref="S157">
    <cfRule type="expression" dxfId="1550" priority="409">
      <formula>$AA157=2</formula>
    </cfRule>
  </conditionalFormatting>
  <conditionalFormatting sqref="S171:S172">
    <cfRule type="expression" dxfId="1549" priority="408">
      <formula>$AA171=2</formula>
    </cfRule>
  </conditionalFormatting>
  <conditionalFormatting sqref="S173">
    <cfRule type="expression" dxfId="1548" priority="407">
      <formula>$AA173=2</formula>
    </cfRule>
  </conditionalFormatting>
  <conditionalFormatting sqref="S172">
    <cfRule type="expression" dxfId="1547" priority="406">
      <formula>$AA172=2</formula>
    </cfRule>
  </conditionalFormatting>
  <conditionalFormatting sqref="S176">
    <cfRule type="expression" dxfId="1546" priority="405">
      <formula>$AA176=2</formula>
    </cfRule>
  </conditionalFormatting>
  <conditionalFormatting sqref="S57">
    <cfRule type="expression" dxfId="1545" priority="404">
      <formula>$AA57=2</formula>
    </cfRule>
  </conditionalFormatting>
  <conditionalFormatting sqref="S125">
    <cfRule type="expression" dxfId="1544" priority="403">
      <formula>$AA125=2</formula>
    </cfRule>
  </conditionalFormatting>
  <conditionalFormatting sqref="S43">
    <cfRule type="expression" dxfId="1543" priority="402">
      <formula>$AA43=2</formula>
    </cfRule>
  </conditionalFormatting>
  <conditionalFormatting sqref="Z208:Z211">
    <cfRule type="expression" dxfId="1542" priority="401">
      <formula>$AA208=2</formula>
    </cfRule>
  </conditionalFormatting>
  <conditionalFormatting sqref="Z145:Z147">
    <cfRule type="expression" dxfId="1541" priority="400">
      <formula>$AA145=2</formula>
    </cfRule>
  </conditionalFormatting>
  <conditionalFormatting sqref="Z122">
    <cfRule type="expression" dxfId="1540" priority="361">
      <formula>$AA122=2</formula>
    </cfRule>
  </conditionalFormatting>
  <conditionalFormatting sqref="Z212">
    <cfRule type="expression" dxfId="1539" priority="399">
      <formula>$AA212=2</formula>
    </cfRule>
  </conditionalFormatting>
  <conditionalFormatting sqref="Z16">
    <cfRule type="expression" dxfId="1538" priority="398">
      <formula>$AA16=2</formula>
    </cfRule>
  </conditionalFormatting>
  <conditionalFormatting sqref="Z14">
    <cfRule type="expression" dxfId="1537" priority="397">
      <formula>$AA14=2</formula>
    </cfRule>
  </conditionalFormatting>
  <conditionalFormatting sqref="Z13">
    <cfRule type="expression" dxfId="1536" priority="396">
      <formula>$AA13=2</formula>
    </cfRule>
  </conditionalFormatting>
  <conditionalFormatting sqref="Z12">
    <cfRule type="expression" dxfId="1535" priority="395">
      <formula>$AA12=2</formula>
    </cfRule>
  </conditionalFormatting>
  <conditionalFormatting sqref="Z21">
    <cfRule type="expression" dxfId="1534" priority="394">
      <formula>$AA21=2</formula>
    </cfRule>
  </conditionalFormatting>
  <conditionalFormatting sqref="Z22">
    <cfRule type="expression" dxfId="1533" priority="393">
      <formula>$AA22=2</formula>
    </cfRule>
  </conditionalFormatting>
  <conditionalFormatting sqref="Z23">
    <cfRule type="expression" dxfId="1532" priority="392">
      <formula>$AA23=2</formula>
    </cfRule>
  </conditionalFormatting>
  <conditionalFormatting sqref="Z24">
    <cfRule type="expression" dxfId="1531" priority="391">
      <formula>$AA24=2</formula>
    </cfRule>
  </conditionalFormatting>
  <conditionalFormatting sqref="Z28">
    <cfRule type="expression" dxfId="1530" priority="390">
      <formula>$AA28=2</formula>
    </cfRule>
  </conditionalFormatting>
  <conditionalFormatting sqref="Z29">
    <cfRule type="expression" dxfId="1529" priority="389">
      <formula>$AA29=2</formula>
    </cfRule>
  </conditionalFormatting>
  <conditionalFormatting sqref="Z30">
    <cfRule type="expression" dxfId="1528" priority="388">
      <formula>$AA30=2</formula>
    </cfRule>
  </conditionalFormatting>
  <conditionalFormatting sqref="Z32">
    <cfRule type="expression" dxfId="1527" priority="387">
      <formula>$AA32=2</formula>
    </cfRule>
  </conditionalFormatting>
  <conditionalFormatting sqref="Z33">
    <cfRule type="expression" dxfId="1526" priority="386">
      <formula>$AA33=2</formula>
    </cfRule>
  </conditionalFormatting>
  <conditionalFormatting sqref="Z34">
    <cfRule type="expression" dxfId="1525" priority="385">
      <formula>$AA34=2</formula>
    </cfRule>
  </conditionalFormatting>
  <conditionalFormatting sqref="Z38:Z40">
    <cfRule type="expression" dxfId="1524" priority="384">
      <formula>$AA38=2</formula>
    </cfRule>
  </conditionalFormatting>
  <conditionalFormatting sqref="Z66">
    <cfRule type="expression" dxfId="1523" priority="383">
      <formula>$AA66=2</formula>
    </cfRule>
  </conditionalFormatting>
  <conditionalFormatting sqref="Z95">
    <cfRule type="expression" dxfId="1522" priority="382">
      <formula>$AA95=2</formula>
    </cfRule>
  </conditionalFormatting>
  <conditionalFormatting sqref="Z104">
    <cfRule type="expression" dxfId="1521" priority="381">
      <formula>$AA104=2</formula>
    </cfRule>
  </conditionalFormatting>
  <conditionalFormatting sqref="Z118">
    <cfRule type="expression" dxfId="1520" priority="380">
      <formula>$AA118=2</formula>
    </cfRule>
  </conditionalFormatting>
  <conditionalFormatting sqref="Z148">
    <cfRule type="expression" dxfId="1519" priority="379">
      <formula>$AA148=2</formula>
    </cfRule>
  </conditionalFormatting>
  <conditionalFormatting sqref="Z163">
    <cfRule type="expression" dxfId="1518" priority="378">
      <formula>$AA163=2</formula>
    </cfRule>
  </conditionalFormatting>
  <conditionalFormatting sqref="Z194">
    <cfRule type="expression" dxfId="1517" priority="377">
      <formula>$AA194=2</formula>
    </cfRule>
  </conditionalFormatting>
  <conditionalFormatting sqref="Z46">
    <cfRule type="expression" dxfId="1516" priority="376">
      <formula>$AA46=2</formula>
    </cfRule>
  </conditionalFormatting>
  <conditionalFormatting sqref="Z51">
    <cfRule type="expression" dxfId="1515" priority="375">
      <formula>$AA51=2</formula>
    </cfRule>
  </conditionalFormatting>
  <conditionalFormatting sqref="Z55">
    <cfRule type="expression" dxfId="1514" priority="374">
      <formula>$AA55=2</formula>
    </cfRule>
  </conditionalFormatting>
  <conditionalFormatting sqref="Z58">
    <cfRule type="expression" dxfId="1513" priority="373">
      <formula>$AA58=2</formula>
    </cfRule>
  </conditionalFormatting>
  <conditionalFormatting sqref="Z61">
    <cfRule type="expression" dxfId="1512" priority="372">
      <formula>$AA61=2</formula>
    </cfRule>
  </conditionalFormatting>
  <conditionalFormatting sqref="Z73">
    <cfRule type="expression" dxfId="1511" priority="371">
      <formula>$AA73=2</formula>
    </cfRule>
  </conditionalFormatting>
  <conditionalFormatting sqref="Z77">
    <cfRule type="expression" dxfId="1510" priority="370">
      <formula>$AA77=2</formula>
    </cfRule>
  </conditionalFormatting>
  <conditionalFormatting sqref="Z80">
    <cfRule type="expression" dxfId="1509" priority="369">
      <formula>$AA80=2</formula>
    </cfRule>
  </conditionalFormatting>
  <conditionalFormatting sqref="Z83">
    <cfRule type="expression" dxfId="1508" priority="368">
      <formula>$AA83=2</formula>
    </cfRule>
  </conditionalFormatting>
  <conditionalFormatting sqref="Z87">
    <cfRule type="expression" dxfId="1507" priority="367">
      <formula>$AA87=2</formula>
    </cfRule>
  </conditionalFormatting>
  <conditionalFormatting sqref="Z90">
    <cfRule type="expression" dxfId="1506" priority="366">
      <formula>$AA90=2</formula>
    </cfRule>
  </conditionalFormatting>
  <conditionalFormatting sqref="Z98">
    <cfRule type="expression" dxfId="1505" priority="365">
      <formula>$AA98=2</formula>
    </cfRule>
  </conditionalFormatting>
  <conditionalFormatting sqref="Z107">
    <cfRule type="expression" dxfId="1504" priority="364">
      <formula>$AA107=2</formula>
    </cfRule>
  </conditionalFormatting>
  <conditionalFormatting sqref="Z109">
    <cfRule type="expression" dxfId="1503" priority="363">
      <formula>$AA109=2</formula>
    </cfRule>
  </conditionalFormatting>
  <conditionalFormatting sqref="Z113">
    <cfRule type="expression" dxfId="1502" priority="362">
      <formula>$AA113=2</formula>
    </cfRule>
  </conditionalFormatting>
  <conditionalFormatting sqref="Z126">
    <cfRule type="expression" dxfId="1501" priority="360">
      <formula>$AA126=2</formula>
    </cfRule>
  </conditionalFormatting>
  <conditionalFormatting sqref="Z130">
    <cfRule type="expression" dxfId="1500" priority="359">
      <formula>$AA130=2</formula>
    </cfRule>
  </conditionalFormatting>
  <conditionalFormatting sqref="Z136">
    <cfRule type="expression" dxfId="1499" priority="358">
      <formula>$AA136=2</formula>
    </cfRule>
  </conditionalFormatting>
  <conditionalFormatting sqref="Z141">
    <cfRule type="expression" dxfId="1498" priority="357">
      <formula>$AA141=2</formula>
    </cfRule>
  </conditionalFormatting>
  <conditionalFormatting sqref="Z154">
    <cfRule type="expression" dxfId="1497" priority="356">
      <formula>$AA154=2</formula>
    </cfRule>
  </conditionalFormatting>
  <conditionalFormatting sqref="Z156">
    <cfRule type="expression" dxfId="1496" priority="355">
      <formula>$AA156=2</formula>
    </cfRule>
  </conditionalFormatting>
  <conditionalFormatting sqref="Z158">
    <cfRule type="expression" dxfId="1495" priority="354">
      <formula>$AA158=2</formula>
    </cfRule>
  </conditionalFormatting>
  <conditionalFormatting sqref="Z166">
    <cfRule type="expression" dxfId="1494" priority="353">
      <formula>$AA166=2</formula>
    </cfRule>
  </conditionalFormatting>
  <conditionalFormatting sqref="Z170">
    <cfRule type="expression" dxfId="1493" priority="352">
      <formula>$AA170=2</formula>
    </cfRule>
  </conditionalFormatting>
  <conditionalFormatting sqref="Z177">
    <cfRule type="expression" dxfId="1492" priority="351">
      <formula>$AA177=2</formula>
    </cfRule>
  </conditionalFormatting>
  <conditionalFormatting sqref="Z181">
    <cfRule type="expression" dxfId="1491" priority="350">
      <formula>$AA181=2</formula>
    </cfRule>
  </conditionalFormatting>
  <conditionalFormatting sqref="Z183">
    <cfRule type="expression" dxfId="1490" priority="349">
      <formula>$AA183=2</formula>
    </cfRule>
  </conditionalFormatting>
  <conditionalFormatting sqref="Z186">
    <cfRule type="expression" dxfId="1489" priority="348">
      <formula>$AA186=2</formula>
    </cfRule>
  </conditionalFormatting>
  <conditionalFormatting sqref="Z199">
    <cfRule type="expression" dxfId="1488" priority="347">
      <formula>$AA199=2</formula>
    </cfRule>
  </conditionalFormatting>
  <conditionalFormatting sqref="Z202">
    <cfRule type="expression" dxfId="1487" priority="346">
      <formula>$AA202=2</formula>
    </cfRule>
  </conditionalFormatting>
  <conditionalFormatting sqref="Z205">
    <cfRule type="expression" dxfId="1486" priority="345">
      <formula>$AA205=2</formula>
    </cfRule>
  </conditionalFormatting>
  <conditionalFormatting sqref="Z41:Z42">
    <cfRule type="expression" dxfId="1485" priority="344">
      <formula>$AA41=2</formula>
    </cfRule>
  </conditionalFormatting>
  <conditionalFormatting sqref="Z47:Z50">
    <cfRule type="expression" dxfId="1484" priority="343">
      <formula>$AA47=2</formula>
    </cfRule>
  </conditionalFormatting>
  <conditionalFormatting sqref="Z52:Z54">
    <cfRule type="expression" dxfId="1483" priority="342">
      <formula>$AA52=2</formula>
    </cfRule>
  </conditionalFormatting>
  <conditionalFormatting sqref="Z56">
    <cfRule type="expression" dxfId="1482" priority="341">
      <formula>$AA56=2</formula>
    </cfRule>
  </conditionalFormatting>
  <conditionalFormatting sqref="Z59:Z60">
    <cfRule type="expression" dxfId="1481" priority="340">
      <formula>$AA59=2</formula>
    </cfRule>
  </conditionalFormatting>
  <conditionalFormatting sqref="Z62">
    <cfRule type="expression" dxfId="1480" priority="339">
      <formula>$AA62=2</formula>
    </cfRule>
  </conditionalFormatting>
  <conditionalFormatting sqref="Z68:Z72">
    <cfRule type="expression" dxfId="1479" priority="338">
      <formula>$AA68=2</formula>
    </cfRule>
  </conditionalFormatting>
  <conditionalFormatting sqref="Z74:Z76">
    <cfRule type="expression" dxfId="1478" priority="337">
      <formula>$AA74=2</formula>
    </cfRule>
  </conditionalFormatting>
  <conditionalFormatting sqref="Z78:Z79">
    <cfRule type="expression" dxfId="1477" priority="336">
      <formula>$AA78=2</formula>
    </cfRule>
  </conditionalFormatting>
  <conditionalFormatting sqref="Z81:Z82">
    <cfRule type="expression" dxfId="1476" priority="335">
      <formula>$AA81=2</formula>
    </cfRule>
  </conditionalFormatting>
  <conditionalFormatting sqref="Z86">
    <cfRule type="expression" dxfId="1475" priority="334">
      <formula>$AA86=2</formula>
    </cfRule>
  </conditionalFormatting>
  <conditionalFormatting sqref="Z88:Z89">
    <cfRule type="expression" dxfId="1474" priority="333">
      <formula>$AA88=2</formula>
    </cfRule>
  </conditionalFormatting>
  <conditionalFormatting sqref="Z91">
    <cfRule type="expression" dxfId="1473" priority="332">
      <formula>$AA91=2</formula>
    </cfRule>
  </conditionalFormatting>
  <conditionalFormatting sqref="Z96:Z97">
    <cfRule type="expression" dxfId="1472" priority="331">
      <formula>$AA96=2</formula>
    </cfRule>
  </conditionalFormatting>
  <conditionalFormatting sqref="Z100">
    <cfRule type="expression" dxfId="1471" priority="330">
      <formula>$AA100=2</formula>
    </cfRule>
  </conditionalFormatting>
  <conditionalFormatting sqref="Z106">
    <cfRule type="expression" dxfId="1470" priority="329">
      <formula>$AA106=2</formula>
    </cfRule>
  </conditionalFormatting>
  <conditionalFormatting sqref="Z108">
    <cfRule type="expression" dxfId="1469" priority="328">
      <formula>$AA108=2</formula>
    </cfRule>
  </conditionalFormatting>
  <conditionalFormatting sqref="Z110:Z112">
    <cfRule type="expression" dxfId="1468" priority="327">
      <formula>$AA110=2</formula>
    </cfRule>
  </conditionalFormatting>
  <conditionalFormatting sqref="Z114">
    <cfRule type="expression" dxfId="1467" priority="326">
      <formula>$AA114=2</formula>
    </cfRule>
  </conditionalFormatting>
  <conditionalFormatting sqref="Z119:Z120">
    <cfRule type="expression" dxfId="1466" priority="325">
      <formula>$AA119=2</formula>
    </cfRule>
  </conditionalFormatting>
  <conditionalFormatting sqref="Z121">
    <cfRule type="expression" dxfId="1465" priority="324">
      <formula>$AA121=2</formula>
    </cfRule>
  </conditionalFormatting>
  <conditionalFormatting sqref="Z123:Z124">
    <cfRule type="expression" dxfId="1464" priority="323">
      <formula>$AA123=2</formula>
    </cfRule>
  </conditionalFormatting>
  <conditionalFormatting sqref="Z127:Z129">
    <cfRule type="expression" dxfId="1463" priority="322">
      <formula>$AA127=2</formula>
    </cfRule>
  </conditionalFormatting>
  <conditionalFormatting sqref="Z131:Z134">
    <cfRule type="expression" dxfId="1462" priority="321">
      <formula>$AA131=2</formula>
    </cfRule>
  </conditionalFormatting>
  <conditionalFormatting sqref="Z138:Z140">
    <cfRule type="expression" dxfId="1461" priority="320">
      <formula>$AA138=2</formula>
    </cfRule>
  </conditionalFormatting>
  <conditionalFormatting sqref="Z142:Z144">
    <cfRule type="expression" dxfId="1460" priority="319">
      <formula>$AA142=2</formula>
    </cfRule>
  </conditionalFormatting>
  <conditionalFormatting sqref="Z150:Z153">
    <cfRule type="expression" dxfId="1459" priority="318">
      <formula>$AA150=2</formula>
    </cfRule>
  </conditionalFormatting>
  <conditionalFormatting sqref="Z155">
    <cfRule type="expression" dxfId="1458" priority="317">
      <formula>$AA155=2</formula>
    </cfRule>
  </conditionalFormatting>
  <conditionalFormatting sqref="Z159">
    <cfRule type="expression" dxfId="1457" priority="316">
      <formula>$AA159=2</formula>
    </cfRule>
  </conditionalFormatting>
  <conditionalFormatting sqref="Z164:Z165">
    <cfRule type="expression" dxfId="1456" priority="315">
      <formula>$AA164=2</formula>
    </cfRule>
  </conditionalFormatting>
  <conditionalFormatting sqref="Z167:Z169">
    <cfRule type="expression" dxfId="1455" priority="314">
      <formula>$AA167=2</formula>
    </cfRule>
  </conditionalFormatting>
  <conditionalFormatting sqref="Z174:Z176">
    <cfRule type="expression" dxfId="1454" priority="313">
      <formula>$AA174=2</formula>
    </cfRule>
  </conditionalFormatting>
  <conditionalFormatting sqref="Z178:Z180">
    <cfRule type="expression" dxfId="1453" priority="312">
      <formula>$AA178=2</formula>
    </cfRule>
  </conditionalFormatting>
  <conditionalFormatting sqref="Z182">
    <cfRule type="expression" dxfId="1452" priority="311">
      <formula>$AA182=2</formula>
    </cfRule>
  </conditionalFormatting>
  <conditionalFormatting sqref="Z184:Z185">
    <cfRule type="expression" dxfId="1451" priority="310">
      <formula>$AA184=2</formula>
    </cfRule>
  </conditionalFormatting>
  <conditionalFormatting sqref="Z187:Z190">
    <cfRule type="expression" dxfId="1450" priority="309">
      <formula>$AA187=2</formula>
    </cfRule>
  </conditionalFormatting>
  <conditionalFormatting sqref="Z200:Z201">
    <cfRule type="expression" dxfId="1449" priority="308">
      <formula>$AA200=2</formula>
    </cfRule>
  </conditionalFormatting>
  <conditionalFormatting sqref="Z203:Z204">
    <cfRule type="expression" dxfId="1448" priority="307">
      <formula>$AA203=2</formula>
    </cfRule>
  </conditionalFormatting>
  <conditionalFormatting sqref="Z206:Z207">
    <cfRule type="expression" dxfId="1447" priority="306">
      <formula>$AA206=2</formula>
    </cfRule>
  </conditionalFormatting>
  <conditionalFormatting sqref="Z196">
    <cfRule type="expression" dxfId="1446" priority="305">
      <formula>$AA196=2</formula>
    </cfRule>
  </conditionalFormatting>
  <conditionalFormatting sqref="Z198">
    <cfRule type="expression" dxfId="1445" priority="304">
      <formula>$AA198=2</formula>
    </cfRule>
  </conditionalFormatting>
  <conditionalFormatting sqref="Z135">
    <cfRule type="expression" dxfId="1444" priority="303">
      <formula>$AA135=2</formula>
    </cfRule>
  </conditionalFormatting>
  <conditionalFormatting sqref="Z197">
    <cfRule type="expression" dxfId="1443" priority="302">
      <formula>$AA197=2</formula>
    </cfRule>
  </conditionalFormatting>
  <conditionalFormatting sqref="Z25">
    <cfRule type="expression" dxfId="1442" priority="301">
      <formula>$AA25=2</formula>
    </cfRule>
  </conditionalFormatting>
  <conditionalFormatting sqref="Z26">
    <cfRule type="expression" dxfId="1441" priority="300">
      <formula>$AA26=2</formula>
    </cfRule>
  </conditionalFormatting>
  <conditionalFormatting sqref="Z85">
    <cfRule type="expression" dxfId="1440" priority="299">
      <formula>$AA85=2</formula>
    </cfRule>
  </conditionalFormatting>
  <conditionalFormatting sqref="Z99">
    <cfRule type="expression" dxfId="1439" priority="298">
      <formula>$AA99=2</formula>
    </cfRule>
  </conditionalFormatting>
  <conditionalFormatting sqref="Z15">
    <cfRule type="expression" dxfId="1438" priority="297">
      <formula>$AA15=2</formula>
    </cfRule>
  </conditionalFormatting>
  <conditionalFormatting sqref="Z157">
    <cfRule type="expression" dxfId="1437" priority="296">
      <formula>$AA157=2</formula>
    </cfRule>
  </conditionalFormatting>
  <conditionalFormatting sqref="Z171:Z172">
    <cfRule type="expression" dxfId="1436" priority="295">
      <formula>$AA171=2</formula>
    </cfRule>
  </conditionalFormatting>
  <conditionalFormatting sqref="Z173">
    <cfRule type="expression" dxfId="1435" priority="294">
      <formula>$AA173=2</formula>
    </cfRule>
  </conditionalFormatting>
  <conditionalFormatting sqref="Z172">
    <cfRule type="expression" dxfId="1434" priority="293">
      <formula>$AA172=2</formula>
    </cfRule>
  </conditionalFormatting>
  <conditionalFormatting sqref="Z176">
    <cfRule type="expression" dxfId="1433" priority="292">
      <formula>$AA176=2</formula>
    </cfRule>
  </conditionalFormatting>
  <conditionalFormatting sqref="Z57">
    <cfRule type="expression" dxfId="1432" priority="291">
      <formula>$AA57=2</formula>
    </cfRule>
  </conditionalFormatting>
  <conditionalFormatting sqref="Z125">
    <cfRule type="expression" dxfId="1431" priority="290">
      <formula>$AA125=2</formula>
    </cfRule>
  </conditionalFormatting>
  <conditionalFormatting sqref="Z44">
    <cfRule type="expression" dxfId="1430" priority="289">
      <formula>$AA44=2</formula>
    </cfRule>
  </conditionalFormatting>
  <conditionalFormatting sqref="Z43">
    <cfRule type="expression" dxfId="1429" priority="288">
      <formula>$AA43=2</formula>
    </cfRule>
  </conditionalFormatting>
  <conditionalFormatting sqref="Z45">
    <cfRule type="expression" dxfId="1428" priority="287">
      <formula>$AA45=2</formula>
    </cfRule>
  </conditionalFormatting>
  <conditionalFormatting sqref="L67">
    <cfRule type="expression" dxfId="1427" priority="285">
      <formula>$AA67=2</formula>
    </cfRule>
  </conditionalFormatting>
  <conditionalFormatting sqref="Z67">
    <cfRule type="expression" dxfId="1426" priority="284">
      <formula>$AA67=2</formula>
    </cfRule>
  </conditionalFormatting>
  <conditionalFormatting sqref="H39:I40">
    <cfRule type="expression" dxfId="1425" priority="283">
      <formula>$AC39=2</formula>
    </cfRule>
  </conditionalFormatting>
  <conditionalFormatting sqref="G39:G40">
    <cfRule type="expression" dxfId="1424" priority="282">
      <formula>$AC39=2</formula>
    </cfRule>
  </conditionalFormatting>
  <conditionalFormatting sqref="G39:G40">
    <cfRule type="expression" dxfId="1423" priority="281">
      <formula>G39&gt;F39</formula>
    </cfRule>
  </conditionalFormatting>
  <conditionalFormatting sqref="H39:H40">
    <cfRule type="expression" dxfId="1422" priority="280">
      <formula>F39=0</formula>
    </cfRule>
  </conditionalFormatting>
  <conditionalFormatting sqref="I39:I40">
    <cfRule type="expression" dxfId="1421" priority="279">
      <formula>F39=0</formula>
    </cfRule>
  </conditionalFormatting>
  <conditionalFormatting sqref="N39:N40">
    <cfRule type="expression" dxfId="1420" priority="278">
      <formula>$AC39=2</formula>
    </cfRule>
  </conditionalFormatting>
  <conditionalFormatting sqref="N39:N40">
    <cfRule type="expression" dxfId="1419" priority="277">
      <formula>N39&gt;F39</formula>
    </cfRule>
  </conditionalFormatting>
  <conditionalFormatting sqref="O39:O40">
    <cfRule type="expression" dxfId="1418" priority="274">
      <formula>$AC39=2</formula>
    </cfRule>
  </conditionalFormatting>
  <conditionalFormatting sqref="O39:O40">
    <cfRule type="expression" dxfId="1417" priority="273">
      <formula>F39=0</formula>
    </cfRule>
  </conditionalFormatting>
  <conditionalFormatting sqref="V39:V40">
    <cfRule type="expression" dxfId="1416" priority="272">
      <formula>$AC39=2</formula>
    </cfRule>
  </conditionalFormatting>
  <conditionalFormatting sqref="U39:U40">
    <cfRule type="expression" dxfId="1415" priority="271">
      <formula>$AC39=2</formula>
    </cfRule>
  </conditionalFormatting>
  <conditionalFormatting sqref="U39:U40">
    <cfRule type="expression" dxfId="1414" priority="270">
      <formula>U39&gt;F39</formula>
    </cfRule>
  </conditionalFormatting>
  <conditionalFormatting sqref="V39:V40">
    <cfRule type="expression" dxfId="1413" priority="267">
      <formula>F39=0</formula>
    </cfRule>
  </conditionalFormatting>
  <conditionalFormatting sqref="AB39:AB40">
    <cfRule type="expression" dxfId="1412" priority="265">
      <formula>$AJ$4="Nei"</formula>
    </cfRule>
    <cfRule type="expression" dxfId="1411" priority="266">
      <formula>$AC39=2</formula>
    </cfRule>
  </conditionalFormatting>
  <conditionalFormatting sqref="O189">
    <cfRule type="expression" dxfId="1410" priority="264">
      <formula>$AC189=2</formula>
    </cfRule>
  </conditionalFormatting>
  <conditionalFormatting sqref="O189">
    <cfRule type="expression" dxfId="1409" priority="263">
      <formula>F189=0</formula>
    </cfRule>
  </conditionalFormatting>
  <conditionalFormatting sqref="V189">
    <cfRule type="expression" dxfId="1408" priority="262">
      <formula>$AC189=2</formula>
    </cfRule>
  </conditionalFormatting>
  <conditionalFormatting sqref="V189">
    <cfRule type="expression" dxfId="1407" priority="261">
      <formula>F189=0</formula>
    </cfRule>
  </conditionalFormatting>
  <conditionalFormatting sqref="H153:I153">
    <cfRule type="expression" dxfId="1406" priority="260">
      <formula>$AC153=2</formula>
    </cfRule>
  </conditionalFormatting>
  <conditionalFormatting sqref="J153:K153">
    <cfRule type="expression" dxfId="1405" priority="256">
      <formula>$AD153=4</formula>
    </cfRule>
    <cfRule type="expression" dxfId="1404" priority="257">
      <formula>$AD153=3</formula>
    </cfRule>
    <cfRule type="expression" dxfId="1403" priority="258">
      <formula>$AD153=2</formula>
    </cfRule>
    <cfRule type="expression" dxfId="1402" priority="259">
      <formula>$AD153=1</formula>
    </cfRule>
  </conditionalFormatting>
  <conditionalFormatting sqref="J153:K153">
    <cfRule type="expression" dxfId="1401" priority="255">
      <formula>$AC153=2</formula>
    </cfRule>
  </conditionalFormatting>
  <conditionalFormatting sqref="G153">
    <cfRule type="expression" dxfId="1400" priority="254">
      <formula>$AC153=2</formula>
    </cfRule>
  </conditionalFormatting>
  <conditionalFormatting sqref="G153">
    <cfRule type="expression" dxfId="1399" priority="253">
      <formula>G153&gt;F153</formula>
    </cfRule>
  </conditionalFormatting>
  <conditionalFormatting sqref="H153">
    <cfRule type="expression" dxfId="1398" priority="252">
      <formula>F153=0</formula>
    </cfRule>
  </conditionalFormatting>
  <conditionalFormatting sqref="I153">
    <cfRule type="expression" dxfId="1397" priority="251">
      <formula>F153=0</formula>
    </cfRule>
  </conditionalFormatting>
  <conditionalFormatting sqref="Q153:R153">
    <cfRule type="expression" dxfId="1396" priority="250">
      <formula>$AC153=2</formula>
    </cfRule>
  </conditionalFormatting>
  <conditionalFormatting sqref="Q153:R153">
    <cfRule type="expression" dxfId="1395" priority="244">
      <formula>$AE153=4</formula>
    </cfRule>
    <cfRule type="expression" dxfId="1394" priority="245">
      <formula>$AE153=3</formula>
    </cfRule>
    <cfRule type="expression" dxfId="1393" priority="246">
      <formula>$AE153=2</formula>
    </cfRule>
    <cfRule type="expression" dxfId="1392" priority="247">
      <formula>$AE153=1</formula>
    </cfRule>
  </conditionalFormatting>
  <conditionalFormatting sqref="O153">
    <cfRule type="expression" dxfId="1391" priority="243">
      <formula>$AC153=2</formula>
    </cfRule>
  </conditionalFormatting>
  <conditionalFormatting sqref="N153">
    <cfRule type="expression" dxfId="1390" priority="242">
      <formula>$AC153=2</formula>
    </cfRule>
  </conditionalFormatting>
  <conditionalFormatting sqref="N153">
    <cfRule type="expression" dxfId="1389" priority="241">
      <formula>N153&gt;F153</formula>
    </cfRule>
  </conditionalFormatting>
  <conditionalFormatting sqref="O153">
    <cfRule type="expression" dxfId="1388" priority="238">
      <formula>F153=0</formula>
    </cfRule>
  </conditionalFormatting>
  <conditionalFormatting sqref="X153:Y153">
    <cfRule type="expression" dxfId="1387" priority="237">
      <formula>$AC153=2</formula>
    </cfRule>
  </conditionalFormatting>
  <conditionalFormatting sqref="X153:Y153">
    <cfRule type="expression" dxfId="1386" priority="233">
      <formula>$AF153=4</formula>
    </cfRule>
    <cfRule type="expression" dxfId="1385" priority="234">
      <formula>$AF153=3</formula>
    </cfRule>
    <cfRule type="expression" dxfId="1384" priority="235">
      <formula>$AF153=2</formula>
    </cfRule>
    <cfRule type="expression" dxfId="1383" priority="236">
      <formula>$AF153=1</formula>
    </cfRule>
  </conditionalFormatting>
  <conditionalFormatting sqref="V153">
    <cfRule type="expression" dxfId="1382" priority="230">
      <formula>$AC153=2</formula>
    </cfRule>
  </conditionalFormatting>
  <conditionalFormatting sqref="U153">
    <cfRule type="expression" dxfId="1381" priority="229">
      <formula>$AC153=2</formula>
    </cfRule>
  </conditionalFormatting>
  <conditionalFormatting sqref="U153">
    <cfRule type="expression" dxfId="1380" priority="228">
      <formula>U153&gt;F153</formula>
    </cfRule>
  </conditionalFormatting>
  <conditionalFormatting sqref="V153">
    <cfRule type="expression" dxfId="1379" priority="225">
      <formula>F153=0</formula>
    </cfRule>
  </conditionalFormatting>
  <conditionalFormatting sqref="H165:I165">
    <cfRule type="expression" dxfId="1378" priority="224">
      <formula>$AC165=2</formula>
    </cfRule>
  </conditionalFormatting>
  <conditionalFormatting sqref="J165">
    <cfRule type="expression" dxfId="1377" priority="220">
      <formula>$AD165=4</formula>
    </cfRule>
    <cfRule type="expression" dxfId="1376" priority="221">
      <formula>$AD165=3</formula>
    </cfRule>
    <cfRule type="expression" dxfId="1375" priority="222">
      <formula>$AD165=2</formula>
    </cfRule>
    <cfRule type="expression" dxfId="1374" priority="223">
      <formula>$AD165=1</formula>
    </cfRule>
  </conditionalFormatting>
  <conditionalFormatting sqref="J165">
    <cfRule type="expression" dxfId="1373" priority="219">
      <formula>$AC165=2</formula>
    </cfRule>
  </conditionalFormatting>
  <conditionalFormatting sqref="G165">
    <cfRule type="expression" dxfId="1372" priority="218">
      <formula>$AC165=2</formula>
    </cfRule>
  </conditionalFormatting>
  <conditionalFormatting sqref="G165">
    <cfRule type="expression" dxfId="1371" priority="217">
      <formula>G165&gt;F165</formula>
    </cfRule>
  </conditionalFormatting>
  <conditionalFormatting sqref="H165">
    <cfRule type="expression" dxfId="1370" priority="216">
      <formula>F165=0</formula>
    </cfRule>
  </conditionalFormatting>
  <conditionalFormatting sqref="I165">
    <cfRule type="expression" dxfId="1369" priority="215">
      <formula>F165=0</formula>
    </cfRule>
  </conditionalFormatting>
  <conditionalFormatting sqref="Q165">
    <cfRule type="expression" dxfId="1368" priority="214">
      <formula>$AC165=2</formula>
    </cfRule>
  </conditionalFormatting>
  <conditionalFormatting sqref="Q165">
    <cfRule type="expression" dxfId="1367" priority="208">
      <formula>$AE165=4</formula>
    </cfRule>
    <cfRule type="expression" dxfId="1366" priority="209">
      <formula>$AE165=3</formula>
    </cfRule>
    <cfRule type="expression" dxfId="1365" priority="210">
      <formula>$AE165=2</formula>
    </cfRule>
    <cfRule type="expression" dxfId="1364" priority="211">
      <formula>$AE165=1</formula>
    </cfRule>
  </conditionalFormatting>
  <conditionalFormatting sqref="O165">
    <cfRule type="expression" dxfId="1363" priority="805">
      <formula>$AC165=2</formula>
    </cfRule>
  </conditionalFormatting>
  <conditionalFormatting sqref="N165">
    <cfRule type="expression" dxfId="1362" priority="206">
      <formula>$AC165=2</formula>
    </cfRule>
  </conditionalFormatting>
  <conditionalFormatting sqref="N165">
    <cfRule type="expression" dxfId="1361" priority="205">
      <formula>N165&gt;F165</formula>
    </cfRule>
  </conditionalFormatting>
  <conditionalFormatting sqref="O165">
    <cfRule type="expression" dxfId="1360" priority="207">
      <formula>F165=0</formula>
    </cfRule>
  </conditionalFormatting>
  <conditionalFormatting sqref="X165:Y165">
    <cfRule type="expression" dxfId="1359" priority="201">
      <formula>$AC165=2</formula>
    </cfRule>
  </conditionalFormatting>
  <conditionalFormatting sqref="X165:Y165">
    <cfRule type="expression" dxfId="1358" priority="197">
      <formula>$AF165=4</formula>
    </cfRule>
    <cfRule type="expression" dxfId="1357" priority="198">
      <formula>$AF165=3</formula>
    </cfRule>
    <cfRule type="expression" dxfId="1356" priority="199">
      <formula>$AF165=2</formula>
    </cfRule>
    <cfRule type="expression" dxfId="1355" priority="200">
      <formula>$AF165=1</formula>
    </cfRule>
  </conditionalFormatting>
  <conditionalFormatting sqref="V165">
    <cfRule type="expression" dxfId="1354" priority="804">
      <formula>$AC165=2</formula>
    </cfRule>
  </conditionalFormatting>
  <conditionalFormatting sqref="U165">
    <cfRule type="expression" dxfId="1353" priority="193">
      <formula>$AC165=2</formula>
    </cfRule>
  </conditionalFormatting>
  <conditionalFormatting sqref="U165">
    <cfRule type="expression" dxfId="1352" priority="192">
      <formula>U165&gt;F165</formula>
    </cfRule>
  </conditionalFormatting>
  <conditionalFormatting sqref="V165">
    <cfRule type="expression" dxfId="1351" priority="194">
      <formula>F165=0</formula>
    </cfRule>
  </conditionalFormatting>
  <conditionalFormatting sqref="N4:S7">
    <cfRule type="expression" dxfId="1350" priority="188">
      <formula>$S$8=AD_no</formula>
    </cfRule>
  </conditionalFormatting>
  <conditionalFormatting sqref="U4:Z7">
    <cfRule type="expression" dxfId="1349" priority="187">
      <formula>$Z$8=AD_no</formula>
    </cfRule>
  </conditionalFormatting>
  <conditionalFormatting sqref="G70">
    <cfRule type="expression" dxfId="1348" priority="185">
      <formula>$AC70=2</formula>
    </cfRule>
  </conditionalFormatting>
  <conditionalFormatting sqref="G70">
    <cfRule type="expression" dxfId="1347" priority="184">
      <formula>G70&gt;F70</formula>
    </cfRule>
  </conditionalFormatting>
  <conditionalFormatting sqref="I70">
    <cfRule type="expression" dxfId="1346" priority="181">
      <formula>$AC70=2</formula>
    </cfRule>
  </conditionalFormatting>
  <conditionalFormatting sqref="I70">
    <cfRule type="expression" dxfId="1345" priority="180">
      <formula>F70=0</formula>
    </cfRule>
  </conditionalFormatting>
  <conditionalFormatting sqref="H70">
    <cfRule type="expression" dxfId="1344" priority="179">
      <formula>$AC70=2</formula>
    </cfRule>
  </conditionalFormatting>
  <conditionalFormatting sqref="H70">
    <cfRule type="expression" dxfId="1343" priority="178">
      <formula>F70=0</formula>
    </cfRule>
  </conditionalFormatting>
  <conditionalFormatting sqref="N70">
    <cfRule type="expression" dxfId="1342" priority="177">
      <formula>$AC70=2</formula>
    </cfRule>
  </conditionalFormatting>
  <conditionalFormatting sqref="N70">
    <cfRule type="expression" dxfId="1341" priority="176">
      <formula>N70&gt;F70</formula>
    </cfRule>
  </conditionalFormatting>
  <conditionalFormatting sqref="U70">
    <cfRule type="expression" dxfId="1340" priority="168">
      <formula>$AC70=2</formula>
    </cfRule>
  </conditionalFormatting>
  <conditionalFormatting sqref="U70">
    <cfRule type="expression" dxfId="1339" priority="167">
      <formula>U70&gt;F70</formula>
    </cfRule>
  </conditionalFormatting>
  <conditionalFormatting sqref="H105:I105">
    <cfRule type="expression" dxfId="1338" priority="163">
      <formula>$AC105=2</formula>
    </cfRule>
  </conditionalFormatting>
  <conditionalFormatting sqref="H105">
    <cfRule type="expression" dxfId="1337" priority="160">
      <formula>F105=0</formula>
    </cfRule>
  </conditionalFormatting>
  <conditionalFormatting sqref="I105">
    <cfRule type="expression" dxfId="1336" priority="159">
      <formula>F105=0</formula>
    </cfRule>
  </conditionalFormatting>
  <conditionalFormatting sqref="Q105:R105">
    <cfRule type="expression" dxfId="1335" priority="158">
      <formula>$AC105=2</formula>
    </cfRule>
  </conditionalFormatting>
  <conditionalFormatting sqref="Q105:R105">
    <cfRule type="expression" dxfId="1334" priority="154">
      <formula>$AE105=4</formula>
    </cfRule>
    <cfRule type="expression" dxfId="1333" priority="155">
      <formula>$AE105=3</formula>
    </cfRule>
    <cfRule type="expression" dxfId="1332" priority="156">
      <formula>$AE105=2</formula>
    </cfRule>
    <cfRule type="expression" dxfId="1331" priority="157">
      <formula>$AE105=1</formula>
    </cfRule>
  </conditionalFormatting>
  <conditionalFormatting sqref="X105:Y105">
    <cfRule type="expression" dxfId="1330" priority="150">
      <formula>$AF105=4</formula>
    </cfRule>
    <cfRule type="expression" dxfId="1329" priority="151">
      <formula>$AF105=3</formula>
    </cfRule>
    <cfRule type="expression" dxfId="1328" priority="152">
      <formula>$AF105=2</formula>
    </cfRule>
    <cfRule type="expression" dxfId="1327" priority="153">
      <formula>$AF105=1</formula>
    </cfRule>
  </conditionalFormatting>
  <conditionalFormatting sqref="X105:Y105">
    <cfRule type="expression" dxfId="1326" priority="149">
      <formula>$AC105=2</formula>
    </cfRule>
  </conditionalFormatting>
  <conditionalFormatting sqref="O105">
    <cfRule type="expression" dxfId="1325" priority="144">
      <formula>$AC105=2</formula>
    </cfRule>
  </conditionalFormatting>
  <conditionalFormatting sqref="V105">
    <cfRule type="expression" dxfId="1324" priority="143">
      <formula>$AC105=2</formula>
    </cfRule>
  </conditionalFormatting>
  <conditionalFormatting sqref="O105">
    <cfRule type="expression" dxfId="1323" priority="134">
      <formula>F105=0</formula>
    </cfRule>
  </conditionalFormatting>
  <conditionalFormatting sqref="V105">
    <cfRule type="expression" dxfId="1322" priority="133">
      <formula>F105=0</formula>
    </cfRule>
  </conditionalFormatting>
  <conditionalFormatting sqref="S105">
    <cfRule type="expression" dxfId="1321" priority="132">
      <formula>$AA105=2</formula>
    </cfRule>
  </conditionalFormatting>
  <conditionalFormatting sqref="Z105">
    <cfRule type="expression" dxfId="1320" priority="131">
      <formula>$AA105=2</formula>
    </cfRule>
  </conditionalFormatting>
  <conditionalFormatting sqref="J149:K149">
    <cfRule type="expression" dxfId="1319" priority="125">
      <formula>$AD149=4</formula>
    </cfRule>
    <cfRule type="expression" dxfId="1318" priority="126">
      <formula>$AD149=3</formula>
    </cfRule>
    <cfRule type="expression" dxfId="1317" priority="127">
      <formula>$AD149=2</formula>
    </cfRule>
    <cfRule type="expression" dxfId="1316" priority="128">
      <formula>$AD149=1</formula>
    </cfRule>
  </conditionalFormatting>
  <conditionalFormatting sqref="J149:K149">
    <cfRule type="expression" dxfId="1315" priority="124">
      <formula>$AC149=2</formula>
    </cfRule>
  </conditionalFormatting>
  <conditionalFormatting sqref="L149">
    <cfRule type="expression" dxfId="1314" priority="123">
      <formula>$AC149=2</formula>
    </cfRule>
  </conditionalFormatting>
  <conditionalFormatting sqref="H149:I149">
    <cfRule type="expression" dxfId="1313" priority="122">
      <formula>$AC149=2</formula>
    </cfRule>
  </conditionalFormatting>
  <conditionalFormatting sqref="H149">
    <cfRule type="expression" dxfId="1312" priority="119">
      <formula>F149=0</formula>
    </cfRule>
  </conditionalFormatting>
  <conditionalFormatting sqref="I149">
    <cfRule type="expression" dxfId="1311" priority="118">
      <formula>F149=0</formula>
    </cfRule>
  </conditionalFormatting>
  <conditionalFormatting sqref="Q149:R149">
    <cfRule type="expression" dxfId="1310" priority="117">
      <formula>$AC149=2</formula>
    </cfRule>
  </conditionalFormatting>
  <conditionalFormatting sqref="Q149:R149">
    <cfRule type="expression" dxfId="1309" priority="113">
      <formula>$AE149=4</formula>
    </cfRule>
    <cfRule type="expression" dxfId="1308" priority="114">
      <formula>$AE149=3</formula>
    </cfRule>
    <cfRule type="expression" dxfId="1307" priority="115">
      <formula>$AE149=2</formula>
    </cfRule>
    <cfRule type="expression" dxfId="1306" priority="116">
      <formula>$AE149=1</formula>
    </cfRule>
  </conditionalFormatting>
  <conditionalFormatting sqref="X149:Y149">
    <cfRule type="expression" dxfId="1305" priority="109">
      <formula>$AF149=4</formula>
    </cfRule>
    <cfRule type="expression" dxfId="1304" priority="110">
      <formula>$AF149=3</formula>
    </cfRule>
    <cfRule type="expression" dxfId="1303" priority="111">
      <formula>$AF149=2</formula>
    </cfRule>
    <cfRule type="expression" dxfId="1302" priority="112">
      <formula>$AF149=1</formula>
    </cfRule>
  </conditionalFormatting>
  <conditionalFormatting sqref="X149:Y149">
    <cfRule type="expression" dxfId="1301" priority="108">
      <formula>$AC149=2</formula>
    </cfRule>
  </conditionalFormatting>
  <conditionalFormatting sqref="O149">
    <cfRule type="expression" dxfId="1300" priority="103">
      <formula>$AC149=2</formula>
    </cfRule>
  </conditionalFormatting>
  <conditionalFormatting sqref="V149">
    <cfRule type="expression" dxfId="1299" priority="102">
      <formula>$AC149=2</formula>
    </cfRule>
  </conditionalFormatting>
  <conditionalFormatting sqref="O149">
    <cfRule type="expression" dxfId="1298" priority="93">
      <formula>F149=0</formula>
    </cfRule>
  </conditionalFormatting>
  <conditionalFormatting sqref="V149">
    <cfRule type="expression" dxfId="1297" priority="92">
      <formula>F149=0</formula>
    </cfRule>
  </conditionalFormatting>
  <conditionalFormatting sqref="S149">
    <cfRule type="expression" dxfId="1296" priority="91">
      <formula>$AA149=2</formula>
    </cfRule>
  </conditionalFormatting>
  <conditionalFormatting sqref="Z149">
    <cfRule type="expression" dxfId="1295" priority="90">
      <formula>$AA149=2</formula>
    </cfRule>
  </conditionalFormatting>
  <conditionalFormatting sqref="X137:Y137 H137:I137 Q137:R137">
    <cfRule type="expression" dxfId="1294" priority="87">
      <formula>$AC137=2</formula>
    </cfRule>
  </conditionalFormatting>
  <conditionalFormatting sqref="Q137:R137">
    <cfRule type="expression" dxfId="1293" priority="80">
      <formula>$AE137=4</formula>
    </cfRule>
    <cfRule type="expression" dxfId="1292" priority="81">
      <formula>$AE137=3</formula>
    </cfRule>
    <cfRule type="expression" dxfId="1291" priority="82">
      <formula>$AE137=2</formula>
    </cfRule>
    <cfRule type="expression" dxfId="1290" priority="83">
      <formula>$AE137=1</formula>
    </cfRule>
  </conditionalFormatting>
  <conditionalFormatting sqref="X137:Y137">
    <cfRule type="expression" dxfId="1289" priority="76">
      <formula>$AF137=4</formula>
    </cfRule>
    <cfRule type="expression" dxfId="1288" priority="77">
      <formula>$AF137=3</formula>
    </cfRule>
    <cfRule type="expression" dxfId="1287" priority="78">
      <formula>$AF137=2</formula>
    </cfRule>
    <cfRule type="expression" dxfId="1286" priority="79">
      <formula>$AF137=1</formula>
    </cfRule>
  </conditionalFormatting>
  <conditionalFormatting sqref="J137:K137">
    <cfRule type="expression" dxfId="1285" priority="70">
      <formula>$AD137=4</formula>
    </cfRule>
    <cfRule type="expression" dxfId="1284" priority="71">
      <formula>$AD137=3</formula>
    </cfRule>
    <cfRule type="expression" dxfId="1283" priority="72">
      <formula>$AD137=2</formula>
    </cfRule>
    <cfRule type="expression" dxfId="1282" priority="73">
      <formula>$AD137=1</formula>
    </cfRule>
  </conditionalFormatting>
  <conditionalFormatting sqref="J137:K137">
    <cfRule type="expression" dxfId="1281" priority="69">
      <formula>$AC137=2</formula>
    </cfRule>
  </conditionalFormatting>
  <conditionalFormatting sqref="L137">
    <cfRule type="expression" dxfId="1280" priority="68">
      <formula>$AC137=2</formula>
    </cfRule>
  </conditionalFormatting>
  <conditionalFormatting sqref="O137">
    <cfRule type="expression" dxfId="1279" priority="67">
      <formula>$AC137=2</formula>
    </cfRule>
  </conditionalFormatting>
  <conditionalFormatting sqref="V137">
    <cfRule type="expression" dxfId="1278" priority="66">
      <formula>$AC137=2</formula>
    </cfRule>
  </conditionalFormatting>
  <conditionalFormatting sqref="G137">
    <cfRule type="expression" dxfId="1277" priority="65">
      <formula>$AC137=2</formula>
    </cfRule>
  </conditionalFormatting>
  <conditionalFormatting sqref="G137">
    <cfRule type="expression" dxfId="1276" priority="64">
      <formula>G137&gt;F137</formula>
    </cfRule>
  </conditionalFormatting>
  <conditionalFormatting sqref="N137">
    <cfRule type="expression" dxfId="1275" priority="63">
      <formula>$AC137=2</formula>
    </cfRule>
  </conditionalFormatting>
  <conditionalFormatting sqref="N137">
    <cfRule type="expression" dxfId="1274" priority="62">
      <formula>N137&gt;F137</formula>
    </cfRule>
  </conditionalFormatting>
  <conditionalFormatting sqref="U137">
    <cfRule type="expression" dxfId="1273" priority="59">
      <formula>$AC137=2</formula>
    </cfRule>
  </conditionalFormatting>
  <conditionalFormatting sqref="U137">
    <cfRule type="expression" dxfId="1272" priority="58">
      <formula>U137&gt;F137</formula>
    </cfRule>
  </conditionalFormatting>
  <conditionalFormatting sqref="H137">
    <cfRule type="expression" dxfId="1271" priority="55">
      <formula>F137=0</formula>
    </cfRule>
  </conditionalFormatting>
  <conditionalFormatting sqref="I137">
    <cfRule type="expression" dxfId="1270" priority="54">
      <formula>F137=0</formula>
    </cfRule>
  </conditionalFormatting>
  <conditionalFormatting sqref="O137">
    <cfRule type="expression" dxfId="1269" priority="85">
      <formula>F137=0</formula>
    </cfRule>
  </conditionalFormatting>
  <conditionalFormatting sqref="V137">
    <cfRule type="expression" dxfId="1268" priority="84">
      <formula>F137=0</formula>
    </cfRule>
  </conditionalFormatting>
  <conditionalFormatting sqref="S137">
    <cfRule type="expression" dxfId="1267" priority="53">
      <formula>$AA137=2</formula>
    </cfRule>
  </conditionalFormatting>
  <conditionalFormatting sqref="Z137">
    <cfRule type="expression" dxfId="1266" priority="52">
      <formula>$AA137=2</formula>
    </cfRule>
  </conditionalFormatting>
  <conditionalFormatting sqref="G150">
    <cfRule type="expression" dxfId="1265" priority="49">
      <formula>$AC150=2</formula>
    </cfRule>
  </conditionalFormatting>
  <conditionalFormatting sqref="G150">
    <cfRule type="expression" dxfId="1264" priority="48">
      <formula>G150&gt;F150</formula>
    </cfRule>
  </conditionalFormatting>
  <conditionalFormatting sqref="N150">
    <cfRule type="expression" dxfId="1263" priority="47">
      <formula>$AC150=2</formula>
    </cfRule>
  </conditionalFormatting>
  <conditionalFormatting sqref="N150">
    <cfRule type="expression" dxfId="1262" priority="46">
      <formula>N150&gt;F150</formula>
    </cfRule>
  </conditionalFormatting>
  <conditionalFormatting sqref="U150">
    <cfRule type="expression" dxfId="1261" priority="42">
      <formula>$AC150=2</formula>
    </cfRule>
  </conditionalFormatting>
  <conditionalFormatting sqref="U150">
    <cfRule type="expression" dxfId="1260" priority="41">
      <formula>U150&gt;F150</formula>
    </cfRule>
  </conditionalFormatting>
  <conditionalFormatting sqref="G149">
    <cfRule type="expression" dxfId="1259" priority="36">
      <formula>G149&gt;F149</formula>
    </cfRule>
  </conditionalFormatting>
  <conditionalFormatting sqref="G149">
    <cfRule type="expression" dxfId="1258" priority="37">
      <formula>$AC149=2</formula>
    </cfRule>
  </conditionalFormatting>
  <conditionalFormatting sqref="N149">
    <cfRule type="expression" dxfId="1257" priority="35">
      <formula>$AC149=2</formula>
    </cfRule>
  </conditionalFormatting>
  <conditionalFormatting sqref="N149">
    <cfRule type="expression" dxfId="1256" priority="34">
      <formula>N149&gt;F149</formula>
    </cfRule>
  </conditionalFormatting>
  <conditionalFormatting sqref="U149">
    <cfRule type="expression" dxfId="1255" priority="30">
      <formula>$AC149=2</formula>
    </cfRule>
  </conditionalFormatting>
  <conditionalFormatting sqref="U149">
    <cfRule type="expression" dxfId="1254" priority="29">
      <formula>U149&gt;F149</formula>
    </cfRule>
  </conditionalFormatting>
  <conditionalFormatting sqref="G106">
    <cfRule type="expression" dxfId="1253" priority="25">
      <formula>$AC106=2</formula>
    </cfRule>
  </conditionalFormatting>
  <conditionalFormatting sqref="G106">
    <cfRule type="expression" dxfId="1252" priority="24">
      <formula>G106&gt;F106</formula>
    </cfRule>
  </conditionalFormatting>
  <conditionalFormatting sqref="N106">
    <cfRule type="expression" dxfId="1251" priority="23">
      <formula>$AC106=2</formula>
    </cfRule>
  </conditionalFormatting>
  <conditionalFormatting sqref="N106">
    <cfRule type="expression" dxfId="1250" priority="22">
      <formula>N106&gt;F106</formula>
    </cfRule>
  </conditionalFormatting>
  <conditionalFormatting sqref="U106">
    <cfRule type="expression" dxfId="1249" priority="18">
      <formula>$AC106=2</formula>
    </cfRule>
  </conditionalFormatting>
  <conditionalFormatting sqref="U106">
    <cfRule type="expression" dxfId="1248" priority="17">
      <formula>U106&gt;F106</formula>
    </cfRule>
  </conditionalFormatting>
  <conditionalFormatting sqref="N105">
    <cfRule type="expression" dxfId="1247" priority="13">
      <formula>$AC105=2</formula>
    </cfRule>
  </conditionalFormatting>
  <conditionalFormatting sqref="N105">
    <cfRule type="expression" dxfId="1246" priority="12">
      <formula>N105&gt;F105</formula>
    </cfRule>
  </conditionalFormatting>
  <conditionalFormatting sqref="U105">
    <cfRule type="expression" dxfId="1245" priority="8">
      <formula>$AC105=2</formula>
    </cfRule>
  </conditionalFormatting>
  <conditionalFormatting sqref="U105">
    <cfRule type="expression" dxfId="1244" priority="7">
      <formula>U105&gt;F105</formula>
    </cfRule>
  </conditionalFormatting>
  <conditionalFormatting sqref="G105">
    <cfRule type="expression" dxfId="1243" priority="2">
      <formula>G105&gt;F105</formula>
    </cfRule>
  </conditionalFormatting>
  <conditionalFormatting sqref="G105">
    <cfRule type="expression" dxfId="1242" priority="3">
      <formula>$AC105=2</formula>
    </cfRule>
  </conditionalFormatting>
  <conditionalFormatting sqref="V35">
    <cfRule type="expression" dxfId="0" priority="1">
      <formula>$AC35=2</formula>
    </cfRule>
  </conditionalFormatting>
  <dataValidations count="19">
    <dataValidation type="decimal" operator="lessThanOrEqual" allowBlank="1" showInputMessage="1" showErrorMessage="1" errorTitle="Invalid entry" error="Cannot award more credits than available" sqref="G142:G144 G188:G190 G211:G224 G57 G128:G129 G155 U154:U159 G110:G112 U41:U46 G157 G91 G108 N57:N62 G203:G204 N154:N159 G32:G34 G28:G30 G171:G172 G114 G120:G121 G124:G125 G12:G16 G18:G19 U197:U207 U100 U57:U62 G41:G45 G138:G140 G200:G201 G52:G54 U211:U224 G48:G50 G59:G60 N188:N190 G62 U166 G74:G76 U138:U144 G78:G79 G185 G81:G82 G182 G179:G180 G88:G89 G21:G26 G96:G97 G100 G168:G169 U11:U34 G159 G175:G176 G149 N107:N114 U71:U91 U188:U190 G206:G207 N211:N224 G132:G135 G71:G72 N41:N46 N48:N55 N118 N120:N122 N124:N126 N128:N130 G164 N168:N173 N175:N177 N179:N183 N185:N186 U48:U55 U118 U120:U122 U124:U126 U128:U130 N166 U168:U173 U175:U177 U179:U183 U185:U186 N138:N144 G151:G152 G197:G198 N197:N207 N194:N195 G195 U194:U195 N100 N11:N34 N71:N91 G84:G86 U95:U98 N95:N98 N38 U38 N151:N152 U151:U152 N163:N164 U163:U164 G67:G69 N66:N69 U66:U69 U104:U105 N104:N105 U148:U149 N148:N149 N132:N136 U132:U136 U107:U114 G105" xr:uid="{00000000-0002-0000-0200-000000000000}">
      <formula1>$F11</formula1>
    </dataValidation>
    <dataValidation allowBlank="1" showInputMessage="1" showErrorMessage="1" promptTitle="Sorting" prompt="Sort from smallest to largest to get original sorting" sqref="A9" xr:uid="{00000000-0002-0000-0200-000001000000}"/>
    <dataValidation type="list" allowBlank="1" showInputMessage="1" showErrorMessage="1" sqref="S8 Z8" xr:uid="{00000000-0002-0000-0200-000002000000}">
      <formula1>AD_YesNo</formula1>
    </dataValidation>
    <dataValidation type="list" allowBlank="1" showInputMessage="1" showErrorMessage="1" sqref="N254:P254 G254 U254:W254 G244 N244:P244 U244:W244 G247 N247:P247 U247:W247 G250:G251 N250:P251 U250:W251 N256:P257 G256:G257 U256:W257 G47 G56 G119 G123 G127 G131 G167 G174 G178 G184 G187 G196 G99 G39:G40 G153 G165 G70 G150 G137 G106" xr:uid="{00000000-0002-0000-0200-000003000000}">
      <formula1>janei</formula1>
    </dataValidation>
    <dataValidation type="list" operator="lessThanOrEqual" allowBlank="1" showInputMessage="1" showErrorMessage="1" errorTitle="Invalid entry" error="Cannot award more credits than available" sqref="N255:P255 G255 U255:W255 N47 U47 N56 N119 N123 N127 N131 N167 N174 N178 N184 N187 U56 U119 U123 U127 U131 U167 U174 U178 U184 U187 N196 U196 N99 U99 N39:N40 U39:U40 N153 U153 N165 U165 N70 U70 U150 N106 U137 N150 N137 U106" xr:uid="{00000000-0002-0000-0200-000004000000}">
      <formula1>janei</formula1>
    </dataValidation>
    <dataValidation type="list" allowBlank="1" showInputMessage="1" showErrorMessage="1" sqref="K211:K224 Y211:Y224 R250:R251 Y253:Y258 K244:K247 Y244:Y247 R244:R247 R194:R207 K253:K258 Y66:Y91 R253:R258 Y38:Y62 R38:R62 K38:K62 R11:R34 Y163:Y190 K104:K114 K163:K190 R211:R224 K235 K250:K251 Y235 Y250:Y251 R235 R148:R159 Y194:Y207 K194:K207 K11:K34 K95:K100 K66:K91 R66:R91 Y95:Y100 R95:R100 Y11:Y34 R104:R114 R163:R190 Y104:Y114 Y148:Y159 K148:K159 Y118:Y144 K118:K144 R118:R144" xr:uid="{00000000-0002-0000-0200-000009000000}">
      <formula1>status</formula1>
    </dataValidation>
    <dataValidation type="list" allowBlank="1" showInputMessage="1" showErrorMessage="1" sqref="AB11" xr:uid="{DB3CADF3-8BC5-476F-81CA-6BDA2C5277F8}">
      <formula1>$AS$11:$AT$11</formula1>
    </dataValidation>
    <dataValidation type="list" allowBlank="1" showInputMessage="1" showErrorMessage="1" sqref="AB17:AB19" xr:uid="{9350211D-61B2-4DA7-BE0E-7C11E1E6B433}">
      <formula1>AS11:AT11</formula1>
    </dataValidation>
    <dataValidation type="list" allowBlank="1" showInputMessage="1" showErrorMessage="1" sqref="AB199:AB207 AB107:AB108 AB77:AB82 AB51:AB54 AB90:AB91 AB27 AB141 AB246 AB130:AB137" xr:uid="{F0C1D095-7E66-46D9-A85F-66F520A2EB89}">
      <formula1>AR27:AU27</formula1>
    </dataValidation>
    <dataValidation type="list" allowBlank="1" showInputMessage="1" showErrorMessage="1" sqref="AB244 AB66 AB104:AB106 AB247 AB31 AB250:AB251 AB83:AB86" xr:uid="{D98CD08E-0EE3-4406-9E21-0FBC679D511E}">
      <formula1>AR31:AT31</formula1>
    </dataValidation>
    <dataValidation type="list" allowBlank="1" showInputMessage="1" showErrorMessage="1" sqref="AB55:AB57" xr:uid="{4C2207EF-568B-47C8-9151-2773F5E6F66A}">
      <formula1>$AS$55:$AT$55</formula1>
    </dataValidation>
    <dataValidation type="list" allowBlank="1" showInputMessage="1" showErrorMessage="1" sqref="AB73:AB76" xr:uid="{1331576C-E601-4F1C-A204-89C25D50F13A}">
      <formula1>$AR$73:$AW$73</formula1>
    </dataValidation>
    <dataValidation type="list" allowBlank="1" showInputMessage="1" showErrorMessage="1" sqref="AB154:AB157" xr:uid="{1D790340-B611-4D8C-807E-51EA2B2982E1}">
      <formula1>$AS$154:$AT$154</formula1>
    </dataValidation>
    <dataValidation type="list" allowBlank="1" showInputMessage="1" showErrorMessage="1" sqref="AB158:AB159" xr:uid="{B6D98BD2-E44A-45F0-85A9-DD6C63C7B0A6}">
      <formula1>$AS$158:$AT$158</formula1>
    </dataValidation>
    <dataValidation type="list" allowBlank="1" showInputMessage="1" showErrorMessage="1" sqref="AB38:AB45" xr:uid="{C3729FE3-E8D4-44CC-A21D-4515CC7AAB60}">
      <formula1>$AR$38:$AX$38</formula1>
    </dataValidation>
    <dataValidation type="list" allowBlank="1" showInputMessage="1" showErrorMessage="1" sqref="AB194:AB198" xr:uid="{BB53C0A7-3B79-4BA3-8464-4D5B1B5FF110}">
      <formula1>$AR$194:$AV$194</formula1>
    </dataValidation>
    <dataValidation type="list" allowBlank="1" showInputMessage="1" showErrorMessage="1" sqref="AB109:AB112" xr:uid="{75B977C5-2350-4159-ABB6-5AEF25C36DC6}">
      <formula1>$AR$109:$AV$109</formula1>
    </dataValidation>
    <dataValidation type="list" allowBlank="1" showInputMessage="1" showErrorMessage="1" sqref="AB46" xr:uid="{392145BC-95C6-4582-97CF-A0374FD78752}">
      <formula1>$AR$46:$AW$46</formula1>
    </dataValidation>
    <dataValidation type="list" allowBlank="1" showInputMessage="1" showErrorMessage="1" sqref="AB235 AB87:AB89 AB113:AB114 AB58:AB62 AB148:AB149 AB211:AB224 AB95 AB245 AB20 AB118:AB120 AB122 AB126 AB253:AB258 AB98:AB100 AB163:AB190" xr:uid="{023AEDB0-0A68-4401-A6A1-3F72B4EA8505}">
      <formula1>AIS_NA</formula1>
    </dataValidation>
  </dataValidations>
  <pageMargins left="0.25" right="0.25" top="0.75" bottom="0.75" header="0.3" footer="0.3"/>
  <pageSetup paperSize="9" scale="47" fitToHeight="0" orientation="landscape" r:id="rId1"/>
  <headerFooter>
    <oddFooter xml:space="preserve">&amp;L&amp;F&amp;C&amp;D&amp;RPage &amp;P of &amp;N  </oddFooter>
  </headerFooter>
  <ignoredErrors>
    <ignoredError sqref="V18:BE34 H226:T334 V17:W17 Z17:BE17 O17:P17 O18:Q18 S17:T18 V153:BE334 V52:X52 Z52:BE52 O125:Q125 S125:T125 V88:BE104 V138:BE148 V53:BE69 E70:F70 V114:BE121 O126:T136 AA71:BE87 Y106:BE113 E105:F105 F107:F113 AA150:BE152 E149:F149 F151:F152 V70:Z87 V105:X105 V149:Z149 O42:T69 O138:T149 H43:M46 H138:M149 C150 V41:BE51 W35:BE35 V36:BE39 O19:T38 H17:M38 O39:Q39 S39:T39 O41:Q41 S41:T41 C41 H151:M152 J150:M150 O151:T225 Q150:T150 V151:Z152 X150:Z150 H108:M121 J106:M106 O107:T121 Q106:T106 V107:X113 X106 H123:M136 J122:M122 O123:T124 Q122:T122 V123:BE136 X122:BE122 H39:J39 L39:M39 H48:M72 H47:J47 L47:M47 H74:M105 H73:J73 L73:M73 H107:J107 L107:M107 O71:T105 O70:Q70 S70:T70 H154:M225 H153:J153 L153:M153 H41:J41 L41:M41 H42:J42 L42:M42" formula="1"/>
  </ignoredErrors>
  <drawing r:id="rId2"/>
  <legacyDrawing r:id="rId3"/>
  <legacyDrawingHF r:id="rId4"/>
  <extLst>
    <ext xmlns:x14="http://schemas.microsoft.com/office/spreadsheetml/2009/9/main" uri="{78C0D931-6437-407d-A8EE-F0AAD7539E65}">
      <x14:conditionalFormattings>
        <x14:conditionalFormatting xmlns:xm="http://schemas.microsoft.com/office/excel/2006/main">
          <x14:cfRule type="expression" priority="202" id="{26E8AFB8-EB8E-4549-91E2-6F0B5A9F2377}">
            <xm:f>$S$8='Assessment Details'!$Q$23</xm:f>
            <x14:dxf>
              <font>
                <color theme="0"/>
              </font>
              <fill>
                <patternFill>
                  <bgColor theme="0"/>
                </patternFill>
              </fill>
              <border>
                <left/>
                <right/>
                <top/>
                <bottom/>
                <vertical/>
                <horizontal/>
              </border>
            </x14:dxf>
          </x14:cfRule>
          <xm:sqref>N107:S136 N151:S225 N138:S148 N9:S104 O150:S150 O106:S106</xm:sqref>
        </x14:conditionalFormatting>
        <x14:conditionalFormatting xmlns:xm="http://schemas.microsoft.com/office/excel/2006/main">
          <x14:cfRule type="expression" priority="4538" id="{F07B10D0-2688-4D2D-9352-51F0145E8B48}">
            <xm:f>$S$8='Assessment Details'!$Q$23</xm:f>
            <x14:dxf>
              <border>
                <left style="thin">
                  <color theme="0"/>
                </left>
                <right style="thin">
                  <color theme="0"/>
                </right>
                <top style="thin">
                  <color theme="0"/>
                </top>
                <bottom style="thin">
                  <color theme="0"/>
                </bottom>
                <vertical/>
                <horizontal/>
              </border>
            </x14:dxf>
          </x14:cfRule>
          <xm:sqref>N146:O147 N192:O193 N225 N9:S10 N36:O37 N18:N19 N102:O103 N253:S258 N35 N64:O65 N93:O94 N116:O117 N161:O162 N209:O210 N211:N219 N63 N92 N101 N115 N145 N160 N191 N208 Q171:R172 Q41:R45 Q47:R50 Q52:R54 Q56:R57 Q59:R60 Q62:R62 Q67:R72 Q74:R76 Q78:R79 Q81:R82 N86 Q88:R89 Q91:R91 Q96:R97 Q100:R100 Q106:R106 Q108:R108 Q110:R112 Q114:R114 Q119:R121 Q123:R125 Q127:R129 Q138:R140 Q142:R144 Q150:R152 Q155:R155 Q157:R157 Q159:R159 Q164:R164 Q167:R169 Q174:R176 Q178:R180 Q182:R182 Q184:R185 Q187:R190 Q195:R195 Q200:R201 Q203:R204 Q206:R207 Q131:R135 Q197:R198 Q84:R86 S213:S224 Q161:R162 Q116:R117 Q93:R94 Q64:R65 Q102:R103 Q11:R37 Q192:R193 Q146:R147 Q209:R224 Q235:S235 N244:S245 N250:S251 N247:S247 Q225:S225 R165</xm:sqref>
        </x14:conditionalFormatting>
        <x14:conditionalFormatting xmlns:xm="http://schemas.microsoft.com/office/excel/2006/main">
          <x14:cfRule type="expression" priority="189" id="{1B653B29-3D42-40C1-932B-B69CCB31110E}">
            <xm:f>$Z$8='Assessment Details'!$Q$23</xm:f>
            <x14:dxf>
              <font>
                <color theme="0"/>
              </font>
              <fill>
                <patternFill>
                  <bgColor theme="0"/>
                </patternFill>
              </fill>
              <border>
                <left/>
                <right/>
                <top/>
                <bottom/>
              </border>
            </x14:dxf>
          </x14:cfRule>
          <xm:sqref>U71:Z104 V70:Z70 U107:Z136 U151:Z225 U138:Z148 V150:Z150 V106:Z106 U9:Z69</xm:sqref>
        </x14:conditionalFormatting>
        <x14:conditionalFormatting xmlns:xm="http://schemas.microsoft.com/office/excel/2006/main">
          <x14:cfRule type="expression" priority="4536" id="{EF72BBD8-21BF-47F9-A216-8FDC90D5599B}">
            <xm:f>$Z$8='Assessment Details'!$Q$23</xm:f>
            <x14:dxf>
              <border>
                <left style="thin">
                  <color theme="0"/>
                </left>
                <right style="thin">
                  <color theme="0"/>
                </right>
                <top style="thin">
                  <color theme="0"/>
                </top>
                <bottom style="thin">
                  <color theme="0"/>
                </bottom>
                <vertical/>
                <horizontal/>
              </border>
            </x14:dxf>
          </x14:cfRule>
          <xm:sqref>U146:V147 U192:V193 Z225 U9:Z10 X17:Y20 X250:Y250 X27:Y27 U36:V37 X11:Y11 X31:Y31 U102:V103 U255:Y255 U35 U64:V65 U93:V94 U116:V117 U161:V162 U209:V210 U211:U219 X171:Y172 X86:Y86 U86 X208:Y225 X160:Y162 X115:Y117 X92:Y94 X63:Y65 X101:Y103 X35:Y37 X191:Y193 X145:Y147</xm:sqref>
        </x14:conditionalFormatting>
        <x14:conditionalFormatting xmlns:xm="http://schemas.microsoft.com/office/excel/2006/main">
          <x14:cfRule type="expression" priority="4465" id="{3B48386A-6E88-435D-96E3-7ECE48307FC5}">
            <xm:f>$Z$8='Assessment Details'!$Q$23</xm:f>
            <x14:dxf>
              <font>
                <color theme="0"/>
              </font>
              <fill>
                <patternFill>
                  <bgColor theme="0"/>
                </patternFill>
              </fill>
            </x14:dxf>
          </x14:cfRule>
          <xm:sqref>AB9</xm:sqref>
        </x14:conditionalFormatting>
        <x14:conditionalFormatting xmlns:xm="http://schemas.microsoft.com/office/excel/2006/main">
          <x14:cfRule type="expression" priority="4464" id="{DD02E5C0-2556-4DD5-BD85-B262FB3B1D1C}">
            <xm:f>$Z$8='Assessment Details'!$Q$23</xm:f>
            <x14:dxf>
              <border>
                <left style="thin">
                  <color theme="0"/>
                </left>
                <right style="thin">
                  <color theme="0"/>
                </right>
                <top style="thin">
                  <color theme="0"/>
                </top>
                <bottom style="thin">
                  <color theme="0"/>
                </bottom>
                <vertical/>
                <horizontal/>
              </border>
            </x14:dxf>
          </x14:cfRule>
          <xm:sqref>AB9</xm:sqref>
        </x14:conditionalFormatting>
        <x14:conditionalFormatting xmlns:xm="http://schemas.microsoft.com/office/excel/2006/main">
          <x14:cfRule type="expression" priority="4327" id="{EB55F4F4-1DD4-4294-9406-21C3CBEF7E73}">
            <xm:f>$S$8='Assessment Details'!$Q$23</xm:f>
            <x14:dxf>
              <font>
                <color theme="0"/>
              </font>
              <fill>
                <patternFill>
                  <bgColor theme="0"/>
                </patternFill>
              </fill>
              <border>
                <vertical/>
                <horizontal/>
              </border>
            </x14:dxf>
          </x14:cfRule>
          <xm:sqref>N220</xm:sqref>
        </x14:conditionalFormatting>
        <x14:conditionalFormatting xmlns:xm="http://schemas.microsoft.com/office/excel/2006/main">
          <x14:cfRule type="expression" priority="4326" id="{F53F118C-8F6E-4BA5-BF71-8B5D02386E74}">
            <xm:f>$S$8='Assessment Details'!$Q$23</xm:f>
            <x14:dxf>
              <border>
                <left style="thin">
                  <color theme="0"/>
                </left>
                <right style="thin">
                  <color theme="0"/>
                </right>
                <top style="thin">
                  <color theme="0"/>
                </top>
                <bottom style="thin">
                  <color theme="0"/>
                </bottom>
                <vertical/>
                <horizontal/>
              </border>
            </x14:dxf>
          </x14:cfRule>
          <xm:sqref>N220</xm:sqref>
        </x14:conditionalFormatting>
        <x14:conditionalFormatting xmlns:xm="http://schemas.microsoft.com/office/excel/2006/main">
          <x14:cfRule type="expression" priority="4325" id="{AF28C966-0E6E-4749-BB73-48B9A7BC2ACE}">
            <xm:f>$Z$8='Assessment Details'!$Q$23</xm:f>
            <x14:dxf>
              <font>
                <color theme="0"/>
              </font>
              <fill>
                <patternFill>
                  <bgColor theme="0"/>
                </patternFill>
              </fill>
            </x14:dxf>
          </x14:cfRule>
          <xm:sqref>U220</xm:sqref>
        </x14:conditionalFormatting>
        <x14:conditionalFormatting xmlns:xm="http://schemas.microsoft.com/office/excel/2006/main">
          <x14:cfRule type="expression" priority="4324" id="{C4A652AD-542D-4A51-8B0A-38440CC32874}">
            <xm:f>$Z$8='Assessment Details'!$Q$23</xm:f>
            <x14:dxf>
              <border>
                <left style="thin">
                  <color theme="0"/>
                </left>
                <right style="thin">
                  <color theme="0"/>
                </right>
                <top style="thin">
                  <color theme="0"/>
                </top>
                <bottom style="thin">
                  <color theme="0"/>
                </bottom>
                <vertical/>
                <horizontal/>
              </border>
            </x14:dxf>
          </x14:cfRule>
          <xm:sqref>U220</xm:sqref>
        </x14:conditionalFormatting>
        <x14:conditionalFormatting xmlns:xm="http://schemas.microsoft.com/office/excel/2006/main">
          <x14:cfRule type="expression" priority="4307" id="{C6F0C1E9-58BE-4F8C-8B3F-826B41B00157}">
            <xm:f>$S$8='Assessment Details'!$Q$23</xm:f>
            <x14:dxf>
              <font>
                <color theme="0"/>
              </font>
              <fill>
                <patternFill>
                  <bgColor theme="0"/>
                </patternFill>
              </fill>
              <border>
                <vertical/>
                <horizontal/>
              </border>
            </x14:dxf>
          </x14:cfRule>
          <xm:sqref>N221</xm:sqref>
        </x14:conditionalFormatting>
        <x14:conditionalFormatting xmlns:xm="http://schemas.microsoft.com/office/excel/2006/main">
          <x14:cfRule type="expression" priority="4306" id="{3C90B44D-5A49-480C-AAEF-2497645946C8}">
            <xm:f>$S$8='Assessment Details'!$Q$23</xm:f>
            <x14:dxf>
              <border>
                <left style="thin">
                  <color theme="0"/>
                </left>
                <right style="thin">
                  <color theme="0"/>
                </right>
                <top style="thin">
                  <color theme="0"/>
                </top>
                <bottom style="thin">
                  <color theme="0"/>
                </bottom>
                <vertical/>
                <horizontal/>
              </border>
            </x14:dxf>
          </x14:cfRule>
          <xm:sqref>N221</xm:sqref>
        </x14:conditionalFormatting>
        <x14:conditionalFormatting xmlns:xm="http://schemas.microsoft.com/office/excel/2006/main">
          <x14:cfRule type="expression" priority="4305" id="{5F40EE38-1188-4DBF-AAA8-FD83D80F7088}">
            <xm:f>$Z$8='Assessment Details'!$Q$23</xm:f>
            <x14:dxf>
              <font>
                <color theme="0"/>
              </font>
              <fill>
                <patternFill>
                  <bgColor theme="0"/>
                </patternFill>
              </fill>
            </x14:dxf>
          </x14:cfRule>
          <xm:sqref>U221</xm:sqref>
        </x14:conditionalFormatting>
        <x14:conditionalFormatting xmlns:xm="http://schemas.microsoft.com/office/excel/2006/main">
          <x14:cfRule type="expression" priority="4304" id="{BD2D5A2E-1C75-476A-B6A3-98481EF96DC5}">
            <xm:f>$Z$8='Assessment Details'!$Q$23</xm:f>
            <x14:dxf>
              <border>
                <left style="thin">
                  <color theme="0"/>
                </left>
                <right style="thin">
                  <color theme="0"/>
                </right>
                <top style="thin">
                  <color theme="0"/>
                </top>
                <bottom style="thin">
                  <color theme="0"/>
                </bottom>
                <vertical/>
                <horizontal/>
              </border>
            </x14:dxf>
          </x14:cfRule>
          <xm:sqref>U221</xm:sqref>
        </x14:conditionalFormatting>
        <x14:conditionalFormatting xmlns:xm="http://schemas.microsoft.com/office/excel/2006/main">
          <x14:cfRule type="expression" priority="4287" id="{46247BBD-A873-4922-8750-3D09E8184D0D}">
            <xm:f>$S$8='Assessment Details'!$Q$23</xm:f>
            <x14:dxf>
              <font>
                <color theme="0"/>
              </font>
              <fill>
                <patternFill>
                  <bgColor theme="0"/>
                </patternFill>
              </fill>
              <border>
                <vertical/>
                <horizontal/>
              </border>
            </x14:dxf>
          </x14:cfRule>
          <xm:sqref>N222</xm:sqref>
        </x14:conditionalFormatting>
        <x14:conditionalFormatting xmlns:xm="http://schemas.microsoft.com/office/excel/2006/main">
          <x14:cfRule type="expression" priority="4286" id="{37C47E48-8E86-4D2F-AF4E-5484360E7AD9}">
            <xm:f>$S$8='Assessment Details'!$Q$23</xm:f>
            <x14:dxf>
              <border>
                <left style="thin">
                  <color theme="0"/>
                </left>
                <right style="thin">
                  <color theme="0"/>
                </right>
                <top style="thin">
                  <color theme="0"/>
                </top>
                <bottom style="thin">
                  <color theme="0"/>
                </bottom>
                <vertical/>
                <horizontal/>
              </border>
            </x14:dxf>
          </x14:cfRule>
          <xm:sqref>N222</xm:sqref>
        </x14:conditionalFormatting>
        <x14:conditionalFormatting xmlns:xm="http://schemas.microsoft.com/office/excel/2006/main">
          <x14:cfRule type="expression" priority="4285" id="{02418F47-1C4E-4E82-902A-C7E9C07A07DC}">
            <xm:f>$Z$8='Assessment Details'!$Q$23</xm:f>
            <x14:dxf>
              <font>
                <color theme="0"/>
              </font>
              <fill>
                <patternFill>
                  <bgColor theme="0"/>
                </patternFill>
              </fill>
            </x14:dxf>
          </x14:cfRule>
          <xm:sqref>U222</xm:sqref>
        </x14:conditionalFormatting>
        <x14:conditionalFormatting xmlns:xm="http://schemas.microsoft.com/office/excel/2006/main">
          <x14:cfRule type="expression" priority="4284" id="{1C3DBDD0-C41F-468D-843F-A3B47D9BCC0F}">
            <xm:f>$Z$8='Assessment Details'!$Q$23</xm:f>
            <x14:dxf>
              <border>
                <left style="thin">
                  <color theme="0"/>
                </left>
                <right style="thin">
                  <color theme="0"/>
                </right>
                <top style="thin">
                  <color theme="0"/>
                </top>
                <bottom style="thin">
                  <color theme="0"/>
                </bottom>
                <vertical/>
                <horizontal/>
              </border>
            </x14:dxf>
          </x14:cfRule>
          <xm:sqref>U222</xm:sqref>
        </x14:conditionalFormatting>
        <x14:conditionalFormatting xmlns:xm="http://schemas.microsoft.com/office/excel/2006/main">
          <x14:cfRule type="expression" priority="4267" id="{CD4EB85A-D7F1-43AC-8452-720AB857931A}">
            <xm:f>$S$8='Assessment Details'!$Q$23</xm:f>
            <x14:dxf>
              <font>
                <color theme="0"/>
              </font>
              <fill>
                <patternFill>
                  <bgColor theme="0"/>
                </patternFill>
              </fill>
              <border>
                <vertical/>
                <horizontal/>
              </border>
            </x14:dxf>
          </x14:cfRule>
          <xm:sqref>N223</xm:sqref>
        </x14:conditionalFormatting>
        <x14:conditionalFormatting xmlns:xm="http://schemas.microsoft.com/office/excel/2006/main">
          <x14:cfRule type="expression" priority="4266" id="{3DC3B8C6-7B5E-4404-976C-3A3832AD9D64}">
            <xm:f>$S$8='Assessment Details'!$Q$23</xm:f>
            <x14:dxf>
              <border>
                <left style="thin">
                  <color theme="0"/>
                </left>
                <right style="thin">
                  <color theme="0"/>
                </right>
                <top style="thin">
                  <color theme="0"/>
                </top>
                <bottom style="thin">
                  <color theme="0"/>
                </bottom>
                <vertical/>
                <horizontal/>
              </border>
            </x14:dxf>
          </x14:cfRule>
          <xm:sqref>N223</xm:sqref>
        </x14:conditionalFormatting>
        <x14:conditionalFormatting xmlns:xm="http://schemas.microsoft.com/office/excel/2006/main">
          <x14:cfRule type="expression" priority="4265" id="{BC251D69-11C2-4540-8D77-657BD1491065}">
            <xm:f>$Z$8='Assessment Details'!$Q$23</xm:f>
            <x14:dxf>
              <font>
                <color theme="0"/>
              </font>
              <fill>
                <patternFill>
                  <bgColor theme="0"/>
                </patternFill>
              </fill>
            </x14:dxf>
          </x14:cfRule>
          <xm:sqref>U223</xm:sqref>
        </x14:conditionalFormatting>
        <x14:conditionalFormatting xmlns:xm="http://schemas.microsoft.com/office/excel/2006/main">
          <x14:cfRule type="expression" priority="4264" id="{091DEED1-E318-4562-ACE6-E415E5633351}">
            <xm:f>$Z$8='Assessment Details'!$Q$23</xm:f>
            <x14:dxf>
              <border>
                <left style="thin">
                  <color theme="0"/>
                </left>
                <right style="thin">
                  <color theme="0"/>
                </right>
                <top style="thin">
                  <color theme="0"/>
                </top>
                <bottom style="thin">
                  <color theme="0"/>
                </bottom>
                <vertical/>
                <horizontal/>
              </border>
            </x14:dxf>
          </x14:cfRule>
          <xm:sqref>U223</xm:sqref>
        </x14:conditionalFormatting>
        <x14:conditionalFormatting xmlns:xm="http://schemas.microsoft.com/office/excel/2006/main">
          <x14:cfRule type="expression" priority="4245" id="{2B1EC8D9-8898-47AD-9A7F-C907B78FA3E3}">
            <xm:f>$Z$8='Assessment Details'!$Q$23</xm:f>
            <x14:dxf>
              <font>
                <color theme="0"/>
              </font>
              <fill>
                <patternFill>
                  <bgColor theme="0"/>
                </patternFill>
              </fill>
            </x14:dxf>
          </x14:cfRule>
          <xm:sqref>U254:Y254</xm:sqref>
        </x14:conditionalFormatting>
        <x14:conditionalFormatting xmlns:xm="http://schemas.microsoft.com/office/excel/2006/main">
          <x14:cfRule type="expression" priority="4244" id="{16217C15-98ED-40E1-9D3C-D8F9EAA14716}">
            <xm:f>$Z$8='Assessment Details'!$Q$23</xm:f>
            <x14:dxf>
              <border>
                <left style="thin">
                  <color theme="0"/>
                </left>
                <right style="thin">
                  <color theme="0"/>
                </right>
                <top style="thin">
                  <color theme="0"/>
                </top>
                <bottom style="thin">
                  <color theme="0"/>
                </bottom>
                <vertical/>
                <horizontal/>
              </border>
            </x14:dxf>
          </x14:cfRule>
          <xm:sqref>U254:Y254</xm:sqref>
        </x14:conditionalFormatting>
        <x14:conditionalFormatting xmlns:xm="http://schemas.microsoft.com/office/excel/2006/main">
          <x14:cfRule type="expression" priority="4221" id="{003CF9C3-5882-4AE5-9825-DD5F562997CA}">
            <xm:f>$Z$8='Assessment Details'!$Q$23</xm:f>
            <x14:dxf>
              <font>
                <color theme="0"/>
              </font>
              <fill>
                <patternFill>
                  <bgColor theme="0"/>
                </patternFill>
              </fill>
            </x14:dxf>
          </x14:cfRule>
          <xm:sqref>X235:Y235</xm:sqref>
        </x14:conditionalFormatting>
        <x14:conditionalFormatting xmlns:xm="http://schemas.microsoft.com/office/excel/2006/main">
          <x14:cfRule type="expression" priority="4220" id="{506DB9F6-CF47-4A3E-8BDC-0CF6F0FB1801}">
            <xm:f>$Z$8='Assessment Details'!$Q$23</xm:f>
            <x14:dxf>
              <border>
                <left style="thin">
                  <color theme="0"/>
                </left>
                <right style="thin">
                  <color theme="0"/>
                </right>
                <top style="thin">
                  <color theme="0"/>
                </top>
                <bottom style="thin">
                  <color theme="0"/>
                </bottom>
                <vertical/>
                <horizontal/>
              </border>
            </x14:dxf>
          </x14:cfRule>
          <xm:sqref>X235:Y235</xm:sqref>
        </x14:conditionalFormatting>
        <x14:conditionalFormatting xmlns:xm="http://schemas.microsoft.com/office/excel/2006/main">
          <x14:cfRule type="expression" priority="4215" id="{65CE01A1-5605-4EA8-9C68-7A192DC9BB8C}">
            <xm:f>$S$8='Assessment Details'!$Q$23</xm:f>
            <x14:dxf>
              <font>
                <color theme="0"/>
              </font>
              <fill>
                <patternFill>
                  <bgColor theme="0"/>
                </patternFill>
              </fill>
              <border>
                <vertical/>
                <horizontal/>
              </border>
            </x14:dxf>
          </x14:cfRule>
          <xm:sqref>N235:P235</xm:sqref>
        </x14:conditionalFormatting>
        <x14:conditionalFormatting xmlns:xm="http://schemas.microsoft.com/office/excel/2006/main">
          <x14:cfRule type="expression" priority="4214" id="{1E118A00-84A7-423B-BFC9-B87735183CA0}">
            <xm:f>$S$8='Assessment Details'!$Q$23</xm:f>
            <x14:dxf>
              <border>
                <left style="thin">
                  <color theme="0"/>
                </left>
                <right style="thin">
                  <color theme="0"/>
                </right>
                <top style="thin">
                  <color theme="0"/>
                </top>
                <bottom style="thin">
                  <color theme="0"/>
                </bottom>
                <vertical/>
                <horizontal/>
              </border>
            </x14:dxf>
          </x14:cfRule>
          <xm:sqref>N235:P235</xm:sqref>
        </x14:conditionalFormatting>
        <x14:conditionalFormatting xmlns:xm="http://schemas.microsoft.com/office/excel/2006/main">
          <x14:cfRule type="expression" priority="4211" id="{E03EFE18-FBBD-40FC-BDF3-34AF33D8729A}">
            <xm:f>$S$8='Assessment Details'!$Q$23</xm:f>
            <x14:dxf>
              <font>
                <color theme="0"/>
              </font>
              <fill>
                <patternFill>
                  <bgColor theme="0"/>
                </patternFill>
              </fill>
              <border>
                <vertical/>
                <horizontal/>
              </border>
            </x14:dxf>
          </x14:cfRule>
          <xm:sqref>U235:W235</xm:sqref>
        </x14:conditionalFormatting>
        <x14:conditionalFormatting xmlns:xm="http://schemas.microsoft.com/office/excel/2006/main">
          <x14:cfRule type="expression" priority="4210" id="{1B409915-313F-482D-9590-169533B82CE8}">
            <xm:f>$S$8='Assessment Details'!$Q$23</xm:f>
            <x14:dxf>
              <border>
                <left style="thin">
                  <color theme="0"/>
                </left>
                <right style="thin">
                  <color theme="0"/>
                </right>
                <top style="thin">
                  <color theme="0"/>
                </top>
                <bottom style="thin">
                  <color theme="0"/>
                </bottom>
                <vertical/>
                <horizontal/>
              </border>
            </x14:dxf>
          </x14:cfRule>
          <xm:sqref>U235:W235</xm:sqref>
        </x14:conditionalFormatting>
        <x14:conditionalFormatting xmlns:xm="http://schemas.microsoft.com/office/excel/2006/main">
          <x14:cfRule type="expression" priority="4190" id="{C23D9E8F-AD36-4F36-8873-6C2B93A98BF5}">
            <xm:f>$Z$8='Assessment Details'!$Q$23</xm:f>
            <x14:dxf>
              <font>
                <color theme="0"/>
              </font>
              <fill>
                <patternFill>
                  <bgColor theme="0"/>
                </patternFill>
              </fill>
            </x14:dxf>
          </x14:cfRule>
          <xm:sqref>X244:Y244</xm:sqref>
        </x14:conditionalFormatting>
        <x14:conditionalFormatting xmlns:xm="http://schemas.microsoft.com/office/excel/2006/main">
          <x14:cfRule type="expression" priority="4189" id="{9F798C84-7CB0-48B5-8C29-E9F67D86CAF5}">
            <xm:f>$Z$8='Assessment Details'!$Q$23</xm:f>
            <x14:dxf>
              <border>
                <left style="thin">
                  <color theme="0"/>
                </left>
                <right style="thin">
                  <color theme="0"/>
                </right>
                <top style="thin">
                  <color theme="0"/>
                </top>
                <bottom style="thin">
                  <color theme="0"/>
                </bottom>
                <vertical/>
                <horizontal/>
              </border>
            </x14:dxf>
          </x14:cfRule>
          <xm:sqref>X244:Y244</xm:sqref>
        </x14:conditionalFormatting>
        <x14:conditionalFormatting xmlns:xm="http://schemas.microsoft.com/office/excel/2006/main">
          <x14:cfRule type="expression" priority="4164" id="{8584CAA5-EBD7-42B8-9D58-8DBF5321B526}">
            <xm:f>$Z$8='Assessment Details'!$Q$23</xm:f>
            <x14:dxf>
              <font>
                <color theme="0"/>
              </font>
              <fill>
                <patternFill>
                  <bgColor theme="0"/>
                </patternFill>
              </fill>
            </x14:dxf>
          </x14:cfRule>
          <xm:sqref>U244:W244</xm:sqref>
        </x14:conditionalFormatting>
        <x14:conditionalFormatting xmlns:xm="http://schemas.microsoft.com/office/excel/2006/main">
          <x14:cfRule type="expression" priority="4163" id="{36D9EACB-D66B-4BD5-96E8-8BAC3D7006C4}">
            <xm:f>$Z$8='Assessment Details'!$Q$23</xm:f>
            <x14:dxf>
              <border>
                <left style="thin">
                  <color theme="0"/>
                </left>
                <right style="thin">
                  <color theme="0"/>
                </right>
                <top style="thin">
                  <color theme="0"/>
                </top>
                <bottom style="thin">
                  <color theme="0"/>
                </bottom>
                <vertical/>
                <horizontal/>
              </border>
            </x14:dxf>
          </x14:cfRule>
          <xm:sqref>U244:W244</xm:sqref>
        </x14:conditionalFormatting>
        <x14:conditionalFormatting xmlns:xm="http://schemas.microsoft.com/office/excel/2006/main">
          <x14:cfRule type="expression" priority="4153" id="{BD68F092-7696-4BAF-B97A-D33E8A53C89A}">
            <xm:f>$Z$8='Assessment Details'!$Q$23</xm:f>
            <x14:dxf>
              <font>
                <color theme="0"/>
              </font>
              <fill>
                <patternFill>
                  <bgColor theme="0"/>
                </patternFill>
              </fill>
            </x14:dxf>
          </x14:cfRule>
          <xm:sqref>U250:W250</xm:sqref>
        </x14:conditionalFormatting>
        <x14:conditionalFormatting xmlns:xm="http://schemas.microsoft.com/office/excel/2006/main">
          <x14:cfRule type="expression" priority="4152" id="{E90D7E1E-28DA-47D4-AABC-E60720466AF9}">
            <xm:f>$Z$8='Assessment Details'!$Q$23</xm:f>
            <x14:dxf>
              <border>
                <left style="thin">
                  <color theme="0"/>
                </left>
                <right style="thin">
                  <color theme="0"/>
                </right>
                <top style="thin">
                  <color theme="0"/>
                </top>
                <bottom style="thin">
                  <color theme="0"/>
                </bottom>
                <vertical/>
                <horizontal/>
              </border>
            </x14:dxf>
          </x14:cfRule>
          <xm:sqref>U250:W250</xm:sqref>
        </x14:conditionalFormatting>
        <x14:conditionalFormatting xmlns:xm="http://schemas.microsoft.com/office/excel/2006/main">
          <x14:cfRule type="expression" priority="4134" id="{4B51EF7C-4C0C-4E96-BBDD-2D04B5CAC58C}">
            <xm:f>$Z$8='Assessment Details'!$Q$23</xm:f>
            <x14:dxf>
              <font>
                <color theme="0"/>
              </font>
              <fill>
                <patternFill>
                  <bgColor theme="0"/>
                </patternFill>
              </fill>
            </x14:dxf>
          </x14:cfRule>
          <xm:sqref>X245:Y245</xm:sqref>
        </x14:conditionalFormatting>
        <x14:conditionalFormatting xmlns:xm="http://schemas.microsoft.com/office/excel/2006/main">
          <x14:cfRule type="expression" priority="4133" id="{F4CA5879-5898-4CE4-B06A-915C45E07AED}">
            <xm:f>$Z$8='Assessment Details'!$Q$23</xm:f>
            <x14:dxf>
              <border>
                <left style="thin">
                  <color theme="0"/>
                </left>
                <right style="thin">
                  <color theme="0"/>
                </right>
                <top style="thin">
                  <color theme="0"/>
                </top>
                <bottom style="thin">
                  <color theme="0"/>
                </bottom>
                <vertical/>
                <horizontal/>
              </border>
            </x14:dxf>
          </x14:cfRule>
          <xm:sqref>X245:Y245</xm:sqref>
        </x14:conditionalFormatting>
        <x14:conditionalFormatting xmlns:xm="http://schemas.microsoft.com/office/excel/2006/main">
          <x14:cfRule type="expression" priority="4114" id="{1863681A-C5A6-469C-9BF7-D98DE7D964C1}">
            <xm:f>$Z$8='Assessment Details'!$Q$23</xm:f>
            <x14:dxf>
              <font>
                <color theme="0"/>
              </font>
              <fill>
                <patternFill>
                  <bgColor theme="0"/>
                </patternFill>
              </fill>
            </x14:dxf>
          </x14:cfRule>
          <xm:sqref>U245:W245</xm:sqref>
        </x14:conditionalFormatting>
        <x14:conditionalFormatting xmlns:xm="http://schemas.microsoft.com/office/excel/2006/main">
          <x14:cfRule type="expression" priority="4113" id="{E733F3F7-9EE8-48C1-A76B-CE9B4A611C8F}">
            <xm:f>$Z$8='Assessment Details'!$Q$23</xm:f>
            <x14:dxf>
              <border>
                <left style="thin">
                  <color theme="0"/>
                </left>
                <right style="thin">
                  <color theme="0"/>
                </right>
                <top style="thin">
                  <color theme="0"/>
                </top>
                <bottom style="thin">
                  <color theme="0"/>
                </bottom>
                <vertical/>
                <horizontal/>
              </border>
            </x14:dxf>
          </x14:cfRule>
          <xm:sqref>U245:W245</xm:sqref>
        </x14:conditionalFormatting>
        <x14:conditionalFormatting xmlns:xm="http://schemas.microsoft.com/office/excel/2006/main">
          <x14:cfRule type="expression" priority="4103" id="{DDEF0701-07C5-4E7E-8FD2-669EF36B4A6C}">
            <xm:f>$Z$8='Assessment Details'!$Q$23</xm:f>
            <x14:dxf>
              <font>
                <color theme="0"/>
              </font>
              <fill>
                <patternFill>
                  <bgColor theme="0"/>
                </patternFill>
              </fill>
            </x14:dxf>
          </x14:cfRule>
          <xm:sqref>X247:Y247</xm:sqref>
        </x14:conditionalFormatting>
        <x14:conditionalFormatting xmlns:xm="http://schemas.microsoft.com/office/excel/2006/main">
          <x14:cfRule type="expression" priority="4102" id="{6AA86BA3-135E-4FD5-AE20-0C1DD4832BF4}">
            <xm:f>$Z$8='Assessment Details'!$Q$23</xm:f>
            <x14:dxf>
              <border>
                <left style="thin">
                  <color theme="0"/>
                </left>
                <right style="thin">
                  <color theme="0"/>
                </right>
                <top style="thin">
                  <color theme="0"/>
                </top>
                <bottom style="thin">
                  <color theme="0"/>
                </bottom>
                <vertical/>
                <horizontal/>
              </border>
            </x14:dxf>
          </x14:cfRule>
          <xm:sqref>X247:Y247</xm:sqref>
        </x14:conditionalFormatting>
        <x14:conditionalFormatting xmlns:xm="http://schemas.microsoft.com/office/excel/2006/main">
          <x14:cfRule type="expression" priority="4088" id="{D7772031-3012-43A4-9FDA-021CF7E6AC75}">
            <xm:f>$Z$8='Assessment Details'!$Q$23</xm:f>
            <x14:dxf>
              <font>
                <color theme="0"/>
              </font>
              <fill>
                <patternFill>
                  <bgColor theme="0"/>
                </patternFill>
              </fill>
            </x14:dxf>
          </x14:cfRule>
          <xm:sqref>U247:W247</xm:sqref>
        </x14:conditionalFormatting>
        <x14:conditionalFormatting xmlns:xm="http://schemas.microsoft.com/office/excel/2006/main">
          <x14:cfRule type="expression" priority="4087" id="{284B85CE-0DE8-4D71-A1D7-56A9956F500E}">
            <xm:f>$Z$8='Assessment Details'!$Q$23</xm:f>
            <x14:dxf>
              <border>
                <left style="thin">
                  <color theme="0"/>
                </left>
                <right style="thin">
                  <color theme="0"/>
                </right>
                <top style="thin">
                  <color theme="0"/>
                </top>
                <bottom style="thin">
                  <color theme="0"/>
                </bottom>
                <vertical/>
                <horizontal/>
              </border>
            </x14:dxf>
          </x14:cfRule>
          <xm:sqref>U247:W247</xm:sqref>
        </x14:conditionalFormatting>
        <x14:conditionalFormatting xmlns:xm="http://schemas.microsoft.com/office/excel/2006/main">
          <x14:cfRule type="expression" priority="4077" id="{089B1A5E-D6F8-4926-BCCD-A2B7E5A02655}">
            <xm:f>$Z$8='Assessment Details'!$Q$23</xm:f>
            <x14:dxf>
              <font>
                <color theme="0"/>
              </font>
              <fill>
                <patternFill>
                  <bgColor theme="0"/>
                </patternFill>
              </fill>
            </x14:dxf>
          </x14:cfRule>
          <xm:sqref>X251:Y251</xm:sqref>
        </x14:conditionalFormatting>
        <x14:conditionalFormatting xmlns:xm="http://schemas.microsoft.com/office/excel/2006/main">
          <x14:cfRule type="expression" priority="4076" id="{2E73FD9D-0124-4E9A-BBF1-07A3CE176EEC}">
            <xm:f>$Z$8='Assessment Details'!$Q$23</xm:f>
            <x14:dxf>
              <border>
                <left style="thin">
                  <color theme="0"/>
                </left>
                <right style="thin">
                  <color theme="0"/>
                </right>
                <top style="thin">
                  <color theme="0"/>
                </top>
                <bottom style="thin">
                  <color theme="0"/>
                </bottom>
                <vertical/>
                <horizontal/>
              </border>
            </x14:dxf>
          </x14:cfRule>
          <xm:sqref>X251:Y251</xm:sqref>
        </x14:conditionalFormatting>
        <x14:conditionalFormatting xmlns:xm="http://schemas.microsoft.com/office/excel/2006/main">
          <x14:cfRule type="expression" priority="4062" id="{3E1A5667-438E-4E2D-A819-A6E789848E50}">
            <xm:f>$Z$8='Assessment Details'!$Q$23</xm:f>
            <x14:dxf>
              <font>
                <color theme="0"/>
              </font>
              <fill>
                <patternFill>
                  <bgColor theme="0"/>
                </patternFill>
              </fill>
            </x14:dxf>
          </x14:cfRule>
          <xm:sqref>U251:W251</xm:sqref>
        </x14:conditionalFormatting>
        <x14:conditionalFormatting xmlns:xm="http://schemas.microsoft.com/office/excel/2006/main">
          <x14:cfRule type="expression" priority="4061" id="{548FE308-7257-4041-A67A-44E3146350BC}">
            <xm:f>$Z$8='Assessment Details'!$Q$23</xm:f>
            <x14:dxf>
              <border>
                <left style="thin">
                  <color theme="0"/>
                </left>
                <right style="thin">
                  <color theme="0"/>
                </right>
                <top style="thin">
                  <color theme="0"/>
                </top>
                <bottom style="thin">
                  <color theme="0"/>
                </bottom>
                <vertical/>
                <horizontal/>
              </border>
            </x14:dxf>
          </x14:cfRule>
          <xm:sqref>U251:W251</xm:sqref>
        </x14:conditionalFormatting>
        <x14:conditionalFormatting xmlns:xm="http://schemas.microsoft.com/office/excel/2006/main">
          <x14:cfRule type="expression" priority="4043" id="{40A6C918-0285-4793-B4C0-2A0509B70D59}">
            <xm:f>$Z$8='Assessment Details'!$Q$23</xm:f>
            <x14:dxf>
              <font>
                <color theme="0"/>
              </font>
              <fill>
                <patternFill>
                  <bgColor theme="0"/>
                </patternFill>
              </fill>
            </x14:dxf>
          </x14:cfRule>
          <xm:sqref>X258:Y258</xm:sqref>
        </x14:conditionalFormatting>
        <x14:conditionalFormatting xmlns:xm="http://schemas.microsoft.com/office/excel/2006/main">
          <x14:cfRule type="expression" priority="4042" id="{8030EB4F-35E3-4365-929E-A938099568DB}">
            <xm:f>$Z$8='Assessment Details'!$Q$23</xm:f>
            <x14:dxf>
              <border>
                <left style="thin">
                  <color theme="0"/>
                </left>
                <right style="thin">
                  <color theme="0"/>
                </right>
                <top style="thin">
                  <color theme="0"/>
                </top>
                <bottom style="thin">
                  <color theme="0"/>
                </bottom>
                <vertical/>
                <horizontal/>
              </border>
            </x14:dxf>
          </x14:cfRule>
          <xm:sqref>X258:Y258</xm:sqref>
        </x14:conditionalFormatting>
        <x14:conditionalFormatting xmlns:xm="http://schemas.microsoft.com/office/excel/2006/main">
          <x14:cfRule type="expression" priority="4023" id="{70461200-1D86-4E38-AFA9-416F4C9719C2}">
            <xm:f>$Z$8='Assessment Details'!$Q$23</xm:f>
            <x14:dxf>
              <font>
                <color theme="0"/>
              </font>
              <fill>
                <patternFill>
                  <bgColor theme="0"/>
                </patternFill>
              </fill>
            </x14:dxf>
          </x14:cfRule>
          <xm:sqref>U258:W258</xm:sqref>
        </x14:conditionalFormatting>
        <x14:conditionalFormatting xmlns:xm="http://schemas.microsoft.com/office/excel/2006/main">
          <x14:cfRule type="expression" priority="4022" id="{3254B1F7-7614-4BEA-A0E0-0BC3006B01C7}">
            <xm:f>$Z$8='Assessment Details'!$Q$23</xm:f>
            <x14:dxf>
              <border>
                <left style="thin">
                  <color theme="0"/>
                </left>
                <right style="thin">
                  <color theme="0"/>
                </right>
                <top style="thin">
                  <color theme="0"/>
                </top>
                <bottom style="thin">
                  <color theme="0"/>
                </bottom>
                <vertical/>
                <horizontal/>
              </border>
            </x14:dxf>
          </x14:cfRule>
          <xm:sqref>U258:W258</xm:sqref>
        </x14:conditionalFormatting>
        <x14:conditionalFormatting xmlns:xm="http://schemas.microsoft.com/office/excel/2006/main">
          <x14:cfRule type="expression" priority="4010" id="{D6A69441-03E9-4327-8284-0BDA0464EEB2}">
            <xm:f>$Z$8='Assessment Details'!$Q$23</xm:f>
            <x14:dxf>
              <font>
                <color theme="0"/>
              </font>
              <fill>
                <patternFill>
                  <bgColor theme="0"/>
                </patternFill>
              </fill>
            </x14:dxf>
          </x14:cfRule>
          <xm:sqref>X253:Y253</xm:sqref>
        </x14:conditionalFormatting>
        <x14:conditionalFormatting xmlns:xm="http://schemas.microsoft.com/office/excel/2006/main">
          <x14:cfRule type="expression" priority="4009" id="{BAD3BC7F-0FB0-48CA-B45D-D3FDD9803F43}">
            <xm:f>$Z$8='Assessment Details'!$Q$23</xm:f>
            <x14:dxf>
              <border>
                <left style="thin">
                  <color theme="0"/>
                </left>
                <right style="thin">
                  <color theme="0"/>
                </right>
                <top style="thin">
                  <color theme="0"/>
                </top>
                <bottom style="thin">
                  <color theme="0"/>
                </bottom>
                <vertical/>
                <horizontal/>
              </border>
            </x14:dxf>
          </x14:cfRule>
          <xm:sqref>X253:Y253</xm:sqref>
        </x14:conditionalFormatting>
        <x14:conditionalFormatting xmlns:xm="http://schemas.microsoft.com/office/excel/2006/main">
          <x14:cfRule type="expression" priority="3998" id="{05CD3DBD-1D3C-47C4-979A-3B6551DB1F7B}">
            <xm:f>$Z$8='Assessment Details'!$Q$23</xm:f>
            <x14:dxf>
              <font>
                <color theme="0"/>
              </font>
              <fill>
                <patternFill>
                  <bgColor theme="0"/>
                </patternFill>
              </fill>
            </x14:dxf>
          </x14:cfRule>
          <xm:sqref>U253:W253</xm:sqref>
        </x14:conditionalFormatting>
        <x14:conditionalFormatting xmlns:xm="http://schemas.microsoft.com/office/excel/2006/main">
          <x14:cfRule type="expression" priority="3997" id="{E2809547-3D6A-400D-A44D-0B08F3FA074E}">
            <xm:f>$Z$8='Assessment Details'!$Q$23</xm:f>
            <x14:dxf>
              <border>
                <left style="thin">
                  <color theme="0"/>
                </left>
                <right style="thin">
                  <color theme="0"/>
                </right>
                <top style="thin">
                  <color theme="0"/>
                </top>
                <bottom style="thin">
                  <color theme="0"/>
                </bottom>
                <vertical/>
                <horizontal/>
              </border>
            </x14:dxf>
          </x14:cfRule>
          <xm:sqref>U253:W253</xm:sqref>
        </x14:conditionalFormatting>
        <x14:conditionalFormatting xmlns:xm="http://schemas.microsoft.com/office/excel/2006/main">
          <x14:cfRule type="expression" priority="3976" id="{399F52E0-54B9-42D8-B324-B9E504AB42A4}">
            <xm:f>$Z$8='Assessment Details'!$Q$23</xm:f>
            <x14:dxf>
              <font>
                <color theme="0"/>
              </font>
              <fill>
                <patternFill>
                  <bgColor theme="0"/>
                </patternFill>
              </fill>
            </x14:dxf>
          </x14:cfRule>
          <xm:sqref>U256:Y256</xm:sqref>
        </x14:conditionalFormatting>
        <x14:conditionalFormatting xmlns:xm="http://schemas.microsoft.com/office/excel/2006/main">
          <x14:cfRule type="expression" priority="3975" id="{AF88DC5A-E5BA-44F0-AA24-E74C2F4C750A}">
            <xm:f>$Z$8='Assessment Details'!$Q$23</xm:f>
            <x14:dxf>
              <border>
                <left style="thin">
                  <color theme="0"/>
                </left>
                <right style="thin">
                  <color theme="0"/>
                </right>
                <top style="thin">
                  <color theme="0"/>
                </top>
                <bottom style="thin">
                  <color theme="0"/>
                </bottom>
                <vertical/>
                <horizontal/>
              </border>
            </x14:dxf>
          </x14:cfRule>
          <xm:sqref>U256:Y256</xm:sqref>
        </x14:conditionalFormatting>
        <x14:conditionalFormatting xmlns:xm="http://schemas.microsoft.com/office/excel/2006/main">
          <x14:cfRule type="expression" priority="3954" id="{8171F4EA-E567-40FF-BC0B-6FCFBEC7F2DA}">
            <xm:f>$Z$8='Assessment Details'!$Q$23</xm:f>
            <x14:dxf>
              <font>
                <color theme="0"/>
              </font>
              <fill>
                <patternFill>
                  <bgColor theme="0"/>
                </patternFill>
              </fill>
            </x14:dxf>
          </x14:cfRule>
          <xm:sqref>U257:Y257</xm:sqref>
        </x14:conditionalFormatting>
        <x14:conditionalFormatting xmlns:xm="http://schemas.microsoft.com/office/excel/2006/main">
          <x14:cfRule type="expression" priority="3953" id="{666DDFF4-B863-47FE-ABF9-E2EE77E7729D}">
            <xm:f>$Z$8='Assessment Details'!$Q$23</xm:f>
            <x14:dxf>
              <border>
                <left style="thin">
                  <color theme="0"/>
                </left>
                <right style="thin">
                  <color theme="0"/>
                </right>
                <top style="thin">
                  <color theme="0"/>
                </top>
                <bottom style="thin">
                  <color theme="0"/>
                </bottom>
                <vertical/>
                <horizontal/>
              </border>
            </x14:dxf>
          </x14:cfRule>
          <xm:sqref>U257:Y257</xm:sqref>
        </x14:conditionalFormatting>
        <x14:conditionalFormatting xmlns:xm="http://schemas.microsoft.com/office/excel/2006/main">
          <x14:cfRule type="expression" priority="2850" id="{80841CB3-12D6-444D-9765-69377C98ED5F}">
            <xm:f>$S$8='Assessment Details'!$Q$23</xm:f>
            <x14:dxf>
              <font>
                <color theme="0"/>
              </font>
              <fill>
                <patternFill>
                  <bgColor theme="0"/>
                </patternFill>
              </fill>
              <border>
                <vertical/>
                <horizontal/>
              </border>
            </x14:dxf>
          </x14:cfRule>
          <xm:sqref>Q122:R122</xm:sqref>
        </x14:conditionalFormatting>
        <x14:conditionalFormatting xmlns:xm="http://schemas.microsoft.com/office/excel/2006/main">
          <x14:cfRule type="expression" priority="2849" id="{D2A6FA7D-D45E-40B6-94FC-90EE7AF965AF}">
            <xm:f>$S$8='Assessment Details'!$Q$23</xm:f>
            <x14:dxf>
              <border>
                <left style="thin">
                  <color theme="0"/>
                </left>
                <right style="thin">
                  <color theme="0"/>
                </right>
                <top style="thin">
                  <color theme="0"/>
                </top>
                <bottom style="thin">
                  <color theme="0"/>
                </bottom>
                <vertical/>
                <horizontal/>
              </border>
            </x14:dxf>
          </x14:cfRule>
          <xm:sqref>Q122:R122</xm:sqref>
        </x14:conditionalFormatting>
        <x14:conditionalFormatting xmlns:xm="http://schemas.microsoft.com/office/excel/2006/main">
          <x14:cfRule type="expression" priority="3728" id="{E7CFFBBB-3569-40FC-B86F-169605FB321A}">
            <xm:f>$Z$8='Assessment Details'!$Q$23</xm:f>
            <x14:dxf>
              <font>
                <color theme="0"/>
              </font>
              <fill>
                <patternFill>
                  <bgColor theme="0"/>
                </patternFill>
              </fill>
            </x14:dxf>
          </x14:cfRule>
          <xm:sqref>X246:Y246</xm:sqref>
        </x14:conditionalFormatting>
        <x14:conditionalFormatting xmlns:xm="http://schemas.microsoft.com/office/excel/2006/main">
          <x14:cfRule type="expression" priority="3727" id="{8A0C0AF9-9023-4533-9251-9341D84C35AF}">
            <xm:f>$Z$8='Assessment Details'!$Q$23</xm:f>
            <x14:dxf>
              <border>
                <left style="thin">
                  <color theme="0"/>
                </left>
                <right style="thin">
                  <color theme="0"/>
                </right>
                <top style="thin">
                  <color theme="0"/>
                </top>
                <bottom style="thin">
                  <color theme="0"/>
                </bottom>
                <vertical/>
                <horizontal/>
              </border>
            </x14:dxf>
          </x14:cfRule>
          <xm:sqref>X246:Y246</xm:sqref>
        </x14:conditionalFormatting>
        <x14:conditionalFormatting xmlns:xm="http://schemas.microsoft.com/office/excel/2006/main">
          <x14:cfRule type="expression" priority="3721" id="{0DCA768C-2245-43CB-B02B-B6C8672CA3A2}">
            <xm:f>$S$8='Assessment Details'!$Q$23</xm:f>
            <x14:dxf>
              <font>
                <color theme="0"/>
              </font>
              <fill>
                <patternFill>
                  <bgColor theme="0"/>
                </patternFill>
              </fill>
              <border>
                <vertical/>
                <horizontal/>
              </border>
            </x14:dxf>
          </x14:cfRule>
          <xm:sqref>N246:R246</xm:sqref>
        </x14:conditionalFormatting>
        <x14:conditionalFormatting xmlns:xm="http://schemas.microsoft.com/office/excel/2006/main">
          <x14:cfRule type="expression" priority="3720" id="{7E49C1AA-37D9-4981-8ADB-7C269B2ECAE3}">
            <xm:f>$S$8='Assessment Details'!$Q$23</xm:f>
            <x14:dxf>
              <border>
                <left style="thin">
                  <color theme="0"/>
                </left>
                <right style="thin">
                  <color theme="0"/>
                </right>
                <top style="thin">
                  <color theme="0"/>
                </top>
                <bottom style="thin">
                  <color theme="0"/>
                </bottom>
                <vertical/>
                <horizontal/>
              </border>
            </x14:dxf>
          </x14:cfRule>
          <xm:sqref>N246:R246</xm:sqref>
        </x14:conditionalFormatting>
        <x14:conditionalFormatting xmlns:xm="http://schemas.microsoft.com/office/excel/2006/main">
          <x14:cfRule type="expression" priority="3719" id="{77D1E0B0-30DF-4C79-9789-3D9EF437F938}">
            <xm:f>$Z$8='Assessment Details'!$Q$23</xm:f>
            <x14:dxf>
              <font>
                <color theme="0"/>
              </font>
              <fill>
                <patternFill>
                  <bgColor theme="0"/>
                </patternFill>
              </fill>
            </x14:dxf>
          </x14:cfRule>
          <xm:sqref>U246:W246</xm:sqref>
        </x14:conditionalFormatting>
        <x14:conditionalFormatting xmlns:xm="http://schemas.microsoft.com/office/excel/2006/main">
          <x14:cfRule type="expression" priority="3718" id="{3612A464-E812-4286-B9F5-C19F3242B82C}">
            <xm:f>$Z$8='Assessment Details'!$Q$23</xm:f>
            <x14:dxf>
              <border>
                <left style="thin">
                  <color theme="0"/>
                </left>
                <right style="thin">
                  <color theme="0"/>
                </right>
                <top style="thin">
                  <color theme="0"/>
                </top>
                <bottom style="thin">
                  <color theme="0"/>
                </bottom>
                <vertical/>
                <horizontal/>
              </border>
            </x14:dxf>
          </x14:cfRule>
          <xm:sqref>U246:W246</xm:sqref>
        </x14:conditionalFormatting>
        <x14:conditionalFormatting xmlns:xm="http://schemas.microsoft.com/office/excel/2006/main">
          <x14:cfRule type="expression" priority="3716" id="{B4E5A23B-2AC0-4018-8372-E7EB8F6F5B77}">
            <xm:f>$F$247='Assessment Details'!$O$61</xm:f>
            <x14:dxf>
              <font>
                <color theme="0" tint="-0.14996795556505021"/>
              </font>
              <fill>
                <patternFill>
                  <bgColor theme="0" tint="-0.14996795556505021"/>
                </patternFill>
              </fill>
            </x14:dxf>
          </x14:cfRule>
          <xm:sqref>G247:L247 N247:S247 U247:Z247</xm:sqref>
        </x14:conditionalFormatting>
        <x14:conditionalFormatting xmlns:xm="http://schemas.microsoft.com/office/excel/2006/main">
          <x14:cfRule type="expression" priority="3674" id="{B2A039A1-D851-4728-8BCC-C7A2C4697CC8}">
            <xm:f>$S$8='Assessment Details'!$Q$23</xm:f>
            <x14:dxf>
              <font>
                <color theme="0"/>
              </font>
              <fill>
                <patternFill>
                  <bgColor theme="0"/>
                </patternFill>
              </fill>
              <border>
                <vertical/>
                <horizontal/>
              </border>
            </x14:dxf>
          </x14:cfRule>
          <xm:sqref>N16</xm:sqref>
        </x14:conditionalFormatting>
        <x14:conditionalFormatting xmlns:xm="http://schemas.microsoft.com/office/excel/2006/main">
          <x14:cfRule type="expression" priority="3673" id="{1D0E6FE4-8490-4A67-82D9-62018F5C6FBC}">
            <xm:f>$S$8='Assessment Details'!$Q$23</xm:f>
            <x14:dxf>
              <border>
                <left style="thin">
                  <color theme="0"/>
                </left>
                <right style="thin">
                  <color theme="0"/>
                </right>
                <top style="thin">
                  <color theme="0"/>
                </top>
                <bottom style="thin">
                  <color theme="0"/>
                </bottom>
                <vertical/>
                <horizontal/>
              </border>
            </x14:dxf>
          </x14:cfRule>
          <xm:sqref>N16</xm:sqref>
        </x14:conditionalFormatting>
        <x14:conditionalFormatting xmlns:xm="http://schemas.microsoft.com/office/excel/2006/main">
          <x14:cfRule type="expression" priority="3672" id="{A8F52E86-B17B-4813-BACC-90329C5333C7}">
            <xm:f>$Z$8='Assessment Details'!$Q$23</xm:f>
            <x14:dxf>
              <font>
                <color theme="0"/>
              </font>
              <fill>
                <patternFill>
                  <bgColor theme="0"/>
                </patternFill>
              </fill>
            </x14:dxf>
          </x14:cfRule>
          <xm:sqref>X16:Y16</xm:sqref>
        </x14:conditionalFormatting>
        <x14:conditionalFormatting xmlns:xm="http://schemas.microsoft.com/office/excel/2006/main">
          <x14:cfRule type="expression" priority="3671" id="{C924779E-9290-4A27-B28A-4C2853714569}">
            <xm:f>$Z$8='Assessment Details'!$Q$23</xm:f>
            <x14:dxf>
              <border>
                <left style="thin">
                  <color theme="0"/>
                </left>
                <right style="thin">
                  <color theme="0"/>
                </right>
                <top style="thin">
                  <color theme="0"/>
                </top>
                <bottom style="thin">
                  <color theme="0"/>
                </bottom>
                <vertical/>
                <horizontal/>
              </border>
            </x14:dxf>
          </x14:cfRule>
          <xm:sqref>X16:Y16</xm:sqref>
        </x14:conditionalFormatting>
        <x14:conditionalFormatting xmlns:xm="http://schemas.microsoft.com/office/excel/2006/main">
          <x14:cfRule type="expression" priority="3658" id="{0975EA98-A6B0-4FB4-89FD-ABC68E857A76}">
            <xm:f>$S$8='Assessment Details'!$Q$23</xm:f>
            <x14:dxf>
              <font>
                <color theme="0"/>
              </font>
              <fill>
                <patternFill>
                  <bgColor theme="0"/>
                </patternFill>
              </fill>
              <border>
                <vertical/>
                <horizontal/>
              </border>
            </x14:dxf>
          </x14:cfRule>
          <xm:sqref>N15</xm:sqref>
        </x14:conditionalFormatting>
        <x14:conditionalFormatting xmlns:xm="http://schemas.microsoft.com/office/excel/2006/main">
          <x14:cfRule type="expression" priority="3657" id="{51B0884B-F3B3-485D-A377-BA31E4BFC38C}">
            <xm:f>$S$8='Assessment Details'!$Q$23</xm:f>
            <x14:dxf>
              <border>
                <left style="thin">
                  <color theme="0"/>
                </left>
                <right style="thin">
                  <color theme="0"/>
                </right>
                <top style="thin">
                  <color theme="0"/>
                </top>
                <bottom style="thin">
                  <color theme="0"/>
                </bottom>
                <vertical/>
                <horizontal/>
              </border>
            </x14:dxf>
          </x14:cfRule>
          <xm:sqref>N15</xm:sqref>
        </x14:conditionalFormatting>
        <x14:conditionalFormatting xmlns:xm="http://schemas.microsoft.com/office/excel/2006/main">
          <x14:cfRule type="expression" priority="3642" id="{468AF6F7-56DB-4F16-8090-E324B4BC1CB5}">
            <xm:f>$S$8='Assessment Details'!$Q$23</xm:f>
            <x14:dxf>
              <font>
                <color theme="0"/>
              </font>
              <fill>
                <patternFill>
                  <bgColor theme="0"/>
                </patternFill>
              </fill>
              <border>
                <vertical/>
                <horizontal/>
              </border>
            </x14:dxf>
          </x14:cfRule>
          <xm:sqref>N14</xm:sqref>
        </x14:conditionalFormatting>
        <x14:conditionalFormatting xmlns:xm="http://schemas.microsoft.com/office/excel/2006/main">
          <x14:cfRule type="expression" priority="3641" id="{0ED21D60-7F57-40CB-AFB5-03C0E88A0C43}">
            <xm:f>$S$8='Assessment Details'!$Q$23</xm:f>
            <x14:dxf>
              <border>
                <left style="thin">
                  <color theme="0"/>
                </left>
                <right style="thin">
                  <color theme="0"/>
                </right>
                <top style="thin">
                  <color theme="0"/>
                </top>
                <bottom style="thin">
                  <color theme="0"/>
                </bottom>
                <vertical/>
                <horizontal/>
              </border>
            </x14:dxf>
          </x14:cfRule>
          <xm:sqref>N14</xm:sqref>
        </x14:conditionalFormatting>
        <x14:conditionalFormatting xmlns:xm="http://schemas.microsoft.com/office/excel/2006/main">
          <x14:cfRule type="expression" priority="3640" id="{0ABD4199-2B67-4DF4-BEA2-9B0700098AD8}">
            <xm:f>$Z$8='Assessment Details'!$Q$23</xm:f>
            <x14:dxf>
              <font>
                <color theme="0"/>
              </font>
              <fill>
                <patternFill>
                  <bgColor theme="0"/>
                </patternFill>
              </fill>
            </x14:dxf>
          </x14:cfRule>
          <xm:sqref>X14:Y14</xm:sqref>
        </x14:conditionalFormatting>
        <x14:conditionalFormatting xmlns:xm="http://schemas.microsoft.com/office/excel/2006/main">
          <x14:cfRule type="expression" priority="3639" id="{6E943F80-0B7D-4DD0-AF45-FF5E85C0374A}">
            <xm:f>$Z$8='Assessment Details'!$Q$23</xm:f>
            <x14:dxf>
              <border>
                <left style="thin">
                  <color theme="0"/>
                </left>
                <right style="thin">
                  <color theme="0"/>
                </right>
                <top style="thin">
                  <color theme="0"/>
                </top>
                <bottom style="thin">
                  <color theme="0"/>
                </bottom>
                <vertical/>
                <horizontal/>
              </border>
            </x14:dxf>
          </x14:cfRule>
          <xm:sqref>X14:Y14</xm:sqref>
        </x14:conditionalFormatting>
        <x14:conditionalFormatting xmlns:xm="http://schemas.microsoft.com/office/excel/2006/main">
          <x14:cfRule type="expression" priority="3626" id="{14597087-9990-434C-ABBB-77168106030A}">
            <xm:f>$S$8='Assessment Details'!$Q$23</xm:f>
            <x14:dxf>
              <font>
                <color theme="0"/>
              </font>
              <fill>
                <patternFill>
                  <bgColor theme="0"/>
                </patternFill>
              </fill>
              <border>
                <vertical/>
                <horizontal/>
              </border>
            </x14:dxf>
          </x14:cfRule>
          <xm:sqref>N13</xm:sqref>
        </x14:conditionalFormatting>
        <x14:conditionalFormatting xmlns:xm="http://schemas.microsoft.com/office/excel/2006/main">
          <x14:cfRule type="expression" priority="3625" id="{3F81F4DE-432F-45BF-B35D-477F2CEC5F77}">
            <xm:f>$S$8='Assessment Details'!$Q$23</xm:f>
            <x14:dxf>
              <border>
                <left style="thin">
                  <color theme="0"/>
                </left>
                <right style="thin">
                  <color theme="0"/>
                </right>
                <top style="thin">
                  <color theme="0"/>
                </top>
                <bottom style="thin">
                  <color theme="0"/>
                </bottom>
                <vertical/>
                <horizontal/>
              </border>
            </x14:dxf>
          </x14:cfRule>
          <xm:sqref>N13</xm:sqref>
        </x14:conditionalFormatting>
        <x14:conditionalFormatting xmlns:xm="http://schemas.microsoft.com/office/excel/2006/main">
          <x14:cfRule type="expression" priority="3624" id="{0691244B-CCBF-4F9B-B010-682E899A44C9}">
            <xm:f>$Z$8='Assessment Details'!$Q$23</xm:f>
            <x14:dxf>
              <font>
                <color theme="0"/>
              </font>
              <fill>
                <patternFill>
                  <bgColor theme="0"/>
                </patternFill>
              </fill>
            </x14:dxf>
          </x14:cfRule>
          <xm:sqref>X13:Y13</xm:sqref>
        </x14:conditionalFormatting>
        <x14:conditionalFormatting xmlns:xm="http://schemas.microsoft.com/office/excel/2006/main">
          <x14:cfRule type="expression" priority="3623" id="{49F6A36B-037D-4ED3-A4E3-CE2698BA69BB}">
            <xm:f>$Z$8='Assessment Details'!$Q$23</xm:f>
            <x14:dxf>
              <border>
                <left style="thin">
                  <color theme="0"/>
                </left>
                <right style="thin">
                  <color theme="0"/>
                </right>
                <top style="thin">
                  <color theme="0"/>
                </top>
                <bottom style="thin">
                  <color theme="0"/>
                </bottom>
                <vertical/>
                <horizontal/>
              </border>
            </x14:dxf>
          </x14:cfRule>
          <xm:sqref>X13:Y13</xm:sqref>
        </x14:conditionalFormatting>
        <x14:conditionalFormatting xmlns:xm="http://schemas.microsoft.com/office/excel/2006/main">
          <x14:cfRule type="expression" priority="3610" id="{EE1182E8-19AC-462C-9F32-CDAAC6DB7DB9}">
            <xm:f>$S$8='Assessment Details'!$Q$23</xm:f>
            <x14:dxf>
              <font>
                <color theme="0"/>
              </font>
              <fill>
                <patternFill>
                  <bgColor theme="0"/>
                </patternFill>
              </fill>
              <border>
                <vertical/>
                <horizontal/>
              </border>
            </x14:dxf>
          </x14:cfRule>
          <xm:sqref>N12</xm:sqref>
        </x14:conditionalFormatting>
        <x14:conditionalFormatting xmlns:xm="http://schemas.microsoft.com/office/excel/2006/main">
          <x14:cfRule type="expression" priority="3609" id="{FEEA52F8-97DF-4F8A-B310-885F91244739}">
            <xm:f>$S$8='Assessment Details'!$Q$23</xm:f>
            <x14:dxf>
              <border>
                <left style="thin">
                  <color theme="0"/>
                </left>
                <right style="thin">
                  <color theme="0"/>
                </right>
                <top style="thin">
                  <color theme="0"/>
                </top>
                <bottom style="thin">
                  <color theme="0"/>
                </bottom>
                <vertical/>
                <horizontal/>
              </border>
            </x14:dxf>
          </x14:cfRule>
          <xm:sqref>N12</xm:sqref>
        </x14:conditionalFormatting>
        <x14:conditionalFormatting xmlns:xm="http://schemas.microsoft.com/office/excel/2006/main">
          <x14:cfRule type="expression" priority="3608" id="{0500ED55-14FD-4D75-812A-4C6E977937E3}">
            <xm:f>$Z$8='Assessment Details'!$Q$23</xm:f>
            <x14:dxf>
              <font>
                <color theme="0"/>
              </font>
              <fill>
                <patternFill>
                  <bgColor theme="0"/>
                </patternFill>
              </fill>
            </x14:dxf>
          </x14:cfRule>
          <xm:sqref>X12:Y12</xm:sqref>
        </x14:conditionalFormatting>
        <x14:conditionalFormatting xmlns:xm="http://schemas.microsoft.com/office/excel/2006/main">
          <x14:cfRule type="expression" priority="3607" id="{02F69B67-FF1F-407F-A6A5-392A24E088D4}">
            <xm:f>$Z$8='Assessment Details'!$Q$23</xm:f>
            <x14:dxf>
              <border>
                <left style="thin">
                  <color theme="0"/>
                </left>
                <right style="thin">
                  <color theme="0"/>
                </right>
                <top style="thin">
                  <color theme="0"/>
                </top>
                <bottom style="thin">
                  <color theme="0"/>
                </bottom>
                <vertical/>
                <horizontal/>
              </border>
            </x14:dxf>
          </x14:cfRule>
          <xm:sqref>X12:Y12</xm:sqref>
        </x14:conditionalFormatting>
        <x14:conditionalFormatting xmlns:xm="http://schemas.microsoft.com/office/excel/2006/main">
          <x14:cfRule type="expression" priority="3594" id="{ED659AEB-C534-474D-BC9A-1F28BB6E03AC}">
            <xm:f>$S$8='Assessment Details'!$Q$23</xm:f>
            <x14:dxf>
              <font>
                <color theme="0"/>
              </font>
              <fill>
                <patternFill>
                  <bgColor theme="0"/>
                </patternFill>
              </fill>
              <border>
                <vertical/>
                <horizontal/>
              </border>
            </x14:dxf>
          </x14:cfRule>
          <xm:sqref>N21</xm:sqref>
        </x14:conditionalFormatting>
        <x14:conditionalFormatting xmlns:xm="http://schemas.microsoft.com/office/excel/2006/main">
          <x14:cfRule type="expression" priority="3593" id="{6B1AF7A8-920D-46C9-A14C-53B9EBB0B276}">
            <xm:f>$S$8='Assessment Details'!$Q$23</xm:f>
            <x14:dxf>
              <border>
                <left style="thin">
                  <color theme="0"/>
                </left>
                <right style="thin">
                  <color theme="0"/>
                </right>
                <top style="thin">
                  <color theme="0"/>
                </top>
                <bottom style="thin">
                  <color theme="0"/>
                </bottom>
                <vertical/>
                <horizontal/>
              </border>
            </x14:dxf>
          </x14:cfRule>
          <xm:sqref>N21</xm:sqref>
        </x14:conditionalFormatting>
        <x14:conditionalFormatting xmlns:xm="http://schemas.microsoft.com/office/excel/2006/main">
          <x14:cfRule type="expression" priority="3592" id="{4750F467-AF2B-4EE1-8D37-F8DDE10FF71D}">
            <xm:f>$Z$8='Assessment Details'!$Q$23</xm:f>
            <x14:dxf>
              <font>
                <color theme="0"/>
              </font>
              <fill>
                <patternFill>
                  <bgColor theme="0"/>
                </patternFill>
              </fill>
            </x14:dxf>
          </x14:cfRule>
          <xm:sqref>X21:Y21</xm:sqref>
        </x14:conditionalFormatting>
        <x14:conditionalFormatting xmlns:xm="http://schemas.microsoft.com/office/excel/2006/main">
          <x14:cfRule type="expression" priority="3591" id="{28B49DD8-0A54-4B53-81A1-7A75EC50BB3D}">
            <xm:f>$Z$8='Assessment Details'!$Q$23</xm:f>
            <x14:dxf>
              <border>
                <left style="thin">
                  <color theme="0"/>
                </left>
                <right style="thin">
                  <color theme="0"/>
                </right>
                <top style="thin">
                  <color theme="0"/>
                </top>
                <bottom style="thin">
                  <color theme="0"/>
                </bottom>
                <vertical/>
                <horizontal/>
              </border>
            </x14:dxf>
          </x14:cfRule>
          <xm:sqref>X21:Y21</xm:sqref>
        </x14:conditionalFormatting>
        <x14:conditionalFormatting xmlns:xm="http://schemas.microsoft.com/office/excel/2006/main">
          <x14:cfRule type="expression" priority="3578" id="{EBFD9CF1-A8AE-40AE-869A-C533AAA0878A}">
            <xm:f>$S$8='Assessment Details'!$Q$23</xm:f>
            <x14:dxf>
              <font>
                <color theme="0"/>
              </font>
              <fill>
                <patternFill>
                  <bgColor theme="0"/>
                </patternFill>
              </fill>
              <border>
                <vertical/>
                <horizontal/>
              </border>
            </x14:dxf>
          </x14:cfRule>
          <xm:sqref>N22</xm:sqref>
        </x14:conditionalFormatting>
        <x14:conditionalFormatting xmlns:xm="http://schemas.microsoft.com/office/excel/2006/main">
          <x14:cfRule type="expression" priority="3577" id="{D369C0D1-0C55-4FD5-802F-67A9FF741933}">
            <xm:f>$S$8='Assessment Details'!$Q$23</xm:f>
            <x14:dxf>
              <border>
                <left style="thin">
                  <color theme="0"/>
                </left>
                <right style="thin">
                  <color theme="0"/>
                </right>
                <top style="thin">
                  <color theme="0"/>
                </top>
                <bottom style="thin">
                  <color theme="0"/>
                </bottom>
                <vertical/>
                <horizontal/>
              </border>
            </x14:dxf>
          </x14:cfRule>
          <xm:sqref>N22</xm:sqref>
        </x14:conditionalFormatting>
        <x14:conditionalFormatting xmlns:xm="http://schemas.microsoft.com/office/excel/2006/main">
          <x14:cfRule type="expression" priority="3576" id="{E510AEC0-4C08-437C-81A1-F63E45E9612F}">
            <xm:f>$Z$8='Assessment Details'!$Q$23</xm:f>
            <x14:dxf>
              <font>
                <color theme="0"/>
              </font>
              <fill>
                <patternFill>
                  <bgColor theme="0"/>
                </patternFill>
              </fill>
            </x14:dxf>
          </x14:cfRule>
          <xm:sqref>X22:Y22</xm:sqref>
        </x14:conditionalFormatting>
        <x14:conditionalFormatting xmlns:xm="http://schemas.microsoft.com/office/excel/2006/main">
          <x14:cfRule type="expression" priority="3575" id="{D6CA72C4-0E17-486E-B4D6-79593A15E384}">
            <xm:f>$Z$8='Assessment Details'!$Q$23</xm:f>
            <x14:dxf>
              <border>
                <left style="thin">
                  <color theme="0"/>
                </left>
                <right style="thin">
                  <color theme="0"/>
                </right>
                <top style="thin">
                  <color theme="0"/>
                </top>
                <bottom style="thin">
                  <color theme="0"/>
                </bottom>
                <vertical/>
                <horizontal/>
              </border>
            </x14:dxf>
          </x14:cfRule>
          <xm:sqref>X22:Y22</xm:sqref>
        </x14:conditionalFormatting>
        <x14:conditionalFormatting xmlns:xm="http://schemas.microsoft.com/office/excel/2006/main">
          <x14:cfRule type="expression" priority="3562" id="{30CFD794-A9D0-4919-8423-A687917A2B42}">
            <xm:f>$S$8='Assessment Details'!$Q$23</xm:f>
            <x14:dxf>
              <font>
                <color theme="0"/>
              </font>
              <fill>
                <patternFill>
                  <bgColor theme="0"/>
                </patternFill>
              </fill>
              <border>
                <vertical/>
                <horizontal/>
              </border>
            </x14:dxf>
          </x14:cfRule>
          <xm:sqref>N23</xm:sqref>
        </x14:conditionalFormatting>
        <x14:conditionalFormatting xmlns:xm="http://schemas.microsoft.com/office/excel/2006/main">
          <x14:cfRule type="expression" priority="3561" id="{B46BFA8D-A9DA-4239-8CDD-89052E852517}">
            <xm:f>$S$8='Assessment Details'!$Q$23</xm:f>
            <x14:dxf>
              <border>
                <left style="thin">
                  <color theme="0"/>
                </left>
                <right style="thin">
                  <color theme="0"/>
                </right>
                <top style="thin">
                  <color theme="0"/>
                </top>
                <bottom style="thin">
                  <color theme="0"/>
                </bottom>
                <vertical/>
                <horizontal/>
              </border>
            </x14:dxf>
          </x14:cfRule>
          <xm:sqref>N23</xm:sqref>
        </x14:conditionalFormatting>
        <x14:conditionalFormatting xmlns:xm="http://schemas.microsoft.com/office/excel/2006/main">
          <x14:cfRule type="expression" priority="3560" id="{289670E2-FB01-44CB-AE51-853232CF8DF5}">
            <xm:f>$Z$8='Assessment Details'!$Q$23</xm:f>
            <x14:dxf>
              <font>
                <color theme="0"/>
              </font>
              <fill>
                <patternFill>
                  <bgColor theme="0"/>
                </patternFill>
              </fill>
            </x14:dxf>
          </x14:cfRule>
          <xm:sqref>X23:Y23</xm:sqref>
        </x14:conditionalFormatting>
        <x14:conditionalFormatting xmlns:xm="http://schemas.microsoft.com/office/excel/2006/main">
          <x14:cfRule type="expression" priority="3559" id="{EC73C7D2-DB83-4C5E-82C8-E40AF24836A7}">
            <xm:f>$Z$8='Assessment Details'!$Q$23</xm:f>
            <x14:dxf>
              <border>
                <left style="thin">
                  <color theme="0"/>
                </left>
                <right style="thin">
                  <color theme="0"/>
                </right>
                <top style="thin">
                  <color theme="0"/>
                </top>
                <bottom style="thin">
                  <color theme="0"/>
                </bottom>
                <vertical/>
                <horizontal/>
              </border>
            </x14:dxf>
          </x14:cfRule>
          <xm:sqref>X23:Y23</xm:sqref>
        </x14:conditionalFormatting>
        <x14:conditionalFormatting xmlns:xm="http://schemas.microsoft.com/office/excel/2006/main">
          <x14:cfRule type="expression" priority="3546" id="{5739EE40-DC4D-4F29-811B-29CD63AB73ED}">
            <xm:f>$S$8='Assessment Details'!$Q$23</xm:f>
            <x14:dxf>
              <font>
                <color theme="0"/>
              </font>
              <fill>
                <patternFill>
                  <bgColor theme="0"/>
                </patternFill>
              </fill>
              <border>
                <vertical/>
                <horizontal/>
              </border>
            </x14:dxf>
          </x14:cfRule>
          <xm:sqref>N24</xm:sqref>
        </x14:conditionalFormatting>
        <x14:conditionalFormatting xmlns:xm="http://schemas.microsoft.com/office/excel/2006/main">
          <x14:cfRule type="expression" priority="3545" id="{59AEA59F-EAFF-47AE-B1EB-2753249AF74D}">
            <xm:f>$S$8='Assessment Details'!$Q$23</xm:f>
            <x14:dxf>
              <border>
                <left style="thin">
                  <color theme="0"/>
                </left>
                <right style="thin">
                  <color theme="0"/>
                </right>
                <top style="thin">
                  <color theme="0"/>
                </top>
                <bottom style="thin">
                  <color theme="0"/>
                </bottom>
                <vertical/>
                <horizontal/>
              </border>
            </x14:dxf>
          </x14:cfRule>
          <xm:sqref>N24</xm:sqref>
        </x14:conditionalFormatting>
        <x14:conditionalFormatting xmlns:xm="http://schemas.microsoft.com/office/excel/2006/main">
          <x14:cfRule type="expression" priority="3544" id="{D0BA127D-AF9A-4A10-B700-936AFCA8D241}">
            <xm:f>$Z$8='Assessment Details'!$Q$23</xm:f>
            <x14:dxf>
              <font>
                <color theme="0"/>
              </font>
              <fill>
                <patternFill>
                  <bgColor theme="0"/>
                </patternFill>
              </fill>
            </x14:dxf>
          </x14:cfRule>
          <xm:sqref>X24:Y24</xm:sqref>
        </x14:conditionalFormatting>
        <x14:conditionalFormatting xmlns:xm="http://schemas.microsoft.com/office/excel/2006/main">
          <x14:cfRule type="expression" priority="3543" id="{6E44C845-F000-41B3-A695-00FFD6DEAA00}">
            <xm:f>$Z$8='Assessment Details'!$Q$23</xm:f>
            <x14:dxf>
              <border>
                <left style="thin">
                  <color theme="0"/>
                </left>
                <right style="thin">
                  <color theme="0"/>
                </right>
                <top style="thin">
                  <color theme="0"/>
                </top>
                <bottom style="thin">
                  <color theme="0"/>
                </bottom>
                <vertical/>
                <horizontal/>
              </border>
            </x14:dxf>
          </x14:cfRule>
          <xm:sqref>X24:Y24</xm:sqref>
        </x14:conditionalFormatting>
        <x14:conditionalFormatting xmlns:xm="http://schemas.microsoft.com/office/excel/2006/main">
          <x14:cfRule type="expression" priority="3530" id="{62720286-3142-45D6-B0CC-B2A9ABEB7FB2}">
            <xm:f>$S$8='Assessment Details'!$Q$23</xm:f>
            <x14:dxf>
              <font>
                <color theme="0"/>
              </font>
              <fill>
                <patternFill>
                  <bgColor theme="0"/>
                </patternFill>
              </fill>
              <border>
                <vertical/>
                <horizontal/>
              </border>
            </x14:dxf>
          </x14:cfRule>
          <xm:sqref>N28</xm:sqref>
        </x14:conditionalFormatting>
        <x14:conditionalFormatting xmlns:xm="http://schemas.microsoft.com/office/excel/2006/main">
          <x14:cfRule type="expression" priority="3529" id="{7D5AD448-4A98-4EFA-9537-3661F1DC69EF}">
            <xm:f>$S$8='Assessment Details'!$Q$23</xm:f>
            <x14:dxf>
              <border>
                <left style="thin">
                  <color theme="0"/>
                </left>
                <right style="thin">
                  <color theme="0"/>
                </right>
                <top style="thin">
                  <color theme="0"/>
                </top>
                <bottom style="thin">
                  <color theme="0"/>
                </bottom>
                <vertical/>
                <horizontal/>
              </border>
            </x14:dxf>
          </x14:cfRule>
          <xm:sqref>N28</xm:sqref>
        </x14:conditionalFormatting>
        <x14:conditionalFormatting xmlns:xm="http://schemas.microsoft.com/office/excel/2006/main">
          <x14:cfRule type="expression" priority="3528" id="{15868158-DE56-48A3-90CB-5E08F276B121}">
            <xm:f>$Z$8='Assessment Details'!$Q$23</xm:f>
            <x14:dxf>
              <font>
                <color theme="0"/>
              </font>
              <fill>
                <patternFill>
                  <bgColor theme="0"/>
                </patternFill>
              </fill>
            </x14:dxf>
          </x14:cfRule>
          <xm:sqref>X28:Y28</xm:sqref>
        </x14:conditionalFormatting>
        <x14:conditionalFormatting xmlns:xm="http://schemas.microsoft.com/office/excel/2006/main">
          <x14:cfRule type="expression" priority="3527" id="{95F84CDB-5690-43C7-92E5-5F0633A74D0A}">
            <xm:f>$Z$8='Assessment Details'!$Q$23</xm:f>
            <x14:dxf>
              <border>
                <left style="thin">
                  <color theme="0"/>
                </left>
                <right style="thin">
                  <color theme="0"/>
                </right>
                <top style="thin">
                  <color theme="0"/>
                </top>
                <bottom style="thin">
                  <color theme="0"/>
                </bottom>
                <vertical/>
                <horizontal/>
              </border>
            </x14:dxf>
          </x14:cfRule>
          <xm:sqref>X28:Y28</xm:sqref>
        </x14:conditionalFormatting>
        <x14:conditionalFormatting xmlns:xm="http://schemas.microsoft.com/office/excel/2006/main">
          <x14:cfRule type="expression" priority="3514" id="{AF5D9744-D435-4F7E-8BD2-7822D78E86B5}">
            <xm:f>$S$8='Assessment Details'!$Q$23</xm:f>
            <x14:dxf>
              <font>
                <color theme="0"/>
              </font>
              <fill>
                <patternFill>
                  <bgColor theme="0"/>
                </patternFill>
              </fill>
              <border>
                <vertical/>
                <horizontal/>
              </border>
            </x14:dxf>
          </x14:cfRule>
          <xm:sqref>N29</xm:sqref>
        </x14:conditionalFormatting>
        <x14:conditionalFormatting xmlns:xm="http://schemas.microsoft.com/office/excel/2006/main">
          <x14:cfRule type="expression" priority="3513" id="{BFC76992-1E49-46CC-9E29-C20E1386BD8F}">
            <xm:f>$S$8='Assessment Details'!$Q$23</xm:f>
            <x14:dxf>
              <border>
                <left style="thin">
                  <color theme="0"/>
                </left>
                <right style="thin">
                  <color theme="0"/>
                </right>
                <top style="thin">
                  <color theme="0"/>
                </top>
                <bottom style="thin">
                  <color theme="0"/>
                </bottom>
                <vertical/>
                <horizontal/>
              </border>
            </x14:dxf>
          </x14:cfRule>
          <xm:sqref>N29</xm:sqref>
        </x14:conditionalFormatting>
        <x14:conditionalFormatting xmlns:xm="http://schemas.microsoft.com/office/excel/2006/main">
          <x14:cfRule type="expression" priority="3512" id="{06AA824E-1639-46EF-A738-822BED2062DE}">
            <xm:f>$Z$8='Assessment Details'!$Q$23</xm:f>
            <x14:dxf>
              <font>
                <color theme="0"/>
              </font>
              <fill>
                <patternFill>
                  <bgColor theme="0"/>
                </patternFill>
              </fill>
            </x14:dxf>
          </x14:cfRule>
          <xm:sqref>X29:Y29</xm:sqref>
        </x14:conditionalFormatting>
        <x14:conditionalFormatting xmlns:xm="http://schemas.microsoft.com/office/excel/2006/main">
          <x14:cfRule type="expression" priority="3511" id="{091C4537-0981-45A2-903A-D06358AB1324}">
            <xm:f>$Z$8='Assessment Details'!$Q$23</xm:f>
            <x14:dxf>
              <border>
                <left style="thin">
                  <color theme="0"/>
                </left>
                <right style="thin">
                  <color theme="0"/>
                </right>
                <top style="thin">
                  <color theme="0"/>
                </top>
                <bottom style="thin">
                  <color theme="0"/>
                </bottom>
                <vertical/>
                <horizontal/>
              </border>
            </x14:dxf>
          </x14:cfRule>
          <xm:sqref>X29:Y29</xm:sqref>
        </x14:conditionalFormatting>
        <x14:conditionalFormatting xmlns:xm="http://schemas.microsoft.com/office/excel/2006/main">
          <x14:cfRule type="expression" priority="3498" id="{9E69F7EB-8E3F-40ED-B49A-5F2566E23221}">
            <xm:f>$S$8='Assessment Details'!$Q$23</xm:f>
            <x14:dxf>
              <font>
                <color theme="0"/>
              </font>
              <fill>
                <patternFill>
                  <bgColor theme="0"/>
                </patternFill>
              </fill>
              <border>
                <vertical/>
                <horizontal/>
              </border>
            </x14:dxf>
          </x14:cfRule>
          <xm:sqref>N30</xm:sqref>
        </x14:conditionalFormatting>
        <x14:conditionalFormatting xmlns:xm="http://schemas.microsoft.com/office/excel/2006/main">
          <x14:cfRule type="expression" priority="3497" id="{918BB4E2-D352-49A3-9681-A831A9DDE801}">
            <xm:f>$S$8='Assessment Details'!$Q$23</xm:f>
            <x14:dxf>
              <border>
                <left style="thin">
                  <color theme="0"/>
                </left>
                <right style="thin">
                  <color theme="0"/>
                </right>
                <top style="thin">
                  <color theme="0"/>
                </top>
                <bottom style="thin">
                  <color theme="0"/>
                </bottom>
                <vertical/>
                <horizontal/>
              </border>
            </x14:dxf>
          </x14:cfRule>
          <xm:sqref>N30</xm:sqref>
        </x14:conditionalFormatting>
        <x14:conditionalFormatting xmlns:xm="http://schemas.microsoft.com/office/excel/2006/main">
          <x14:cfRule type="expression" priority="3496" id="{017C0CD2-BFC7-4472-8A84-D25E983FAB4B}">
            <xm:f>$Z$8='Assessment Details'!$Q$23</xm:f>
            <x14:dxf>
              <font>
                <color theme="0"/>
              </font>
              <fill>
                <patternFill>
                  <bgColor theme="0"/>
                </patternFill>
              </fill>
            </x14:dxf>
          </x14:cfRule>
          <xm:sqref>X30:Y30</xm:sqref>
        </x14:conditionalFormatting>
        <x14:conditionalFormatting xmlns:xm="http://schemas.microsoft.com/office/excel/2006/main">
          <x14:cfRule type="expression" priority="3495" id="{82777833-394D-43A7-8038-B6DA34939F99}">
            <xm:f>$Z$8='Assessment Details'!$Q$23</xm:f>
            <x14:dxf>
              <border>
                <left style="thin">
                  <color theme="0"/>
                </left>
                <right style="thin">
                  <color theme="0"/>
                </right>
                <top style="thin">
                  <color theme="0"/>
                </top>
                <bottom style="thin">
                  <color theme="0"/>
                </bottom>
                <vertical/>
                <horizontal/>
              </border>
            </x14:dxf>
          </x14:cfRule>
          <xm:sqref>X30:Y30</xm:sqref>
        </x14:conditionalFormatting>
        <x14:conditionalFormatting xmlns:xm="http://schemas.microsoft.com/office/excel/2006/main">
          <x14:cfRule type="expression" priority="3482" id="{460E784F-64CF-4F2E-8193-3E2EC1124A08}">
            <xm:f>$S$8='Assessment Details'!$Q$23</xm:f>
            <x14:dxf>
              <font>
                <color theme="0"/>
              </font>
              <fill>
                <patternFill>
                  <bgColor theme="0"/>
                </patternFill>
              </fill>
              <border>
                <vertical/>
                <horizontal/>
              </border>
            </x14:dxf>
          </x14:cfRule>
          <xm:sqref>N32</xm:sqref>
        </x14:conditionalFormatting>
        <x14:conditionalFormatting xmlns:xm="http://schemas.microsoft.com/office/excel/2006/main">
          <x14:cfRule type="expression" priority="3481" id="{49600BB0-26E2-444B-B954-BA0D92B8D3FE}">
            <xm:f>$S$8='Assessment Details'!$Q$23</xm:f>
            <x14:dxf>
              <border>
                <left style="thin">
                  <color theme="0"/>
                </left>
                <right style="thin">
                  <color theme="0"/>
                </right>
                <top style="thin">
                  <color theme="0"/>
                </top>
                <bottom style="thin">
                  <color theme="0"/>
                </bottom>
                <vertical/>
                <horizontal/>
              </border>
            </x14:dxf>
          </x14:cfRule>
          <xm:sqref>N32</xm:sqref>
        </x14:conditionalFormatting>
        <x14:conditionalFormatting xmlns:xm="http://schemas.microsoft.com/office/excel/2006/main">
          <x14:cfRule type="expression" priority="3480" id="{D6870EA8-63F5-49CE-9555-4B125AD932FE}">
            <xm:f>$Z$8='Assessment Details'!$Q$23</xm:f>
            <x14:dxf>
              <font>
                <color theme="0"/>
              </font>
              <fill>
                <patternFill>
                  <bgColor theme="0"/>
                </patternFill>
              </fill>
            </x14:dxf>
          </x14:cfRule>
          <xm:sqref>X32:Y32</xm:sqref>
        </x14:conditionalFormatting>
        <x14:conditionalFormatting xmlns:xm="http://schemas.microsoft.com/office/excel/2006/main">
          <x14:cfRule type="expression" priority="3479" id="{E08A0F6E-3965-43E6-92E6-1D2AB84C93CB}">
            <xm:f>$Z$8='Assessment Details'!$Q$23</xm:f>
            <x14:dxf>
              <border>
                <left style="thin">
                  <color theme="0"/>
                </left>
                <right style="thin">
                  <color theme="0"/>
                </right>
                <top style="thin">
                  <color theme="0"/>
                </top>
                <bottom style="thin">
                  <color theme="0"/>
                </bottom>
                <vertical/>
                <horizontal/>
              </border>
            </x14:dxf>
          </x14:cfRule>
          <xm:sqref>X32:Y32</xm:sqref>
        </x14:conditionalFormatting>
        <x14:conditionalFormatting xmlns:xm="http://schemas.microsoft.com/office/excel/2006/main">
          <x14:cfRule type="expression" priority="3466" id="{38F425FC-94CD-4BB9-A180-E504232063FB}">
            <xm:f>$S$8='Assessment Details'!$Q$23</xm:f>
            <x14:dxf>
              <font>
                <color theme="0"/>
              </font>
              <fill>
                <patternFill>
                  <bgColor theme="0"/>
                </patternFill>
              </fill>
              <border>
                <vertical/>
                <horizontal/>
              </border>
            </x14:dxf>
          </x14:cfRule>
          <xm:sqref>N33</xm:sqref>
        </x14:conditionalFormatting>
        <x14:conditionalFormatting xmlns:xm="http://schemas.microsoft.com/office/excel/2006/main">
          <x14:cfRule type="expression" priority="3465" id="{6BFF1090-B4A7-4D7A-9B52-3C465FDBE6D1}">
            <xm:f>$S$8='Assessment Details'!$Q$23</xm:f>
            <x14:dxf>
              <border>
                <left style="thin">
                  <color theme="0"/>
                </left>
                <right style="thin">
                  <color theme="0"/>
                </right>
                <top style="thin">
                  <color theme="0"/>
                </top>
                <bottom style="thin">
                  <color theme="0"/>
                </bottom>
                <vertical/>
                <horizontal/>
              </border>
            </x14:dxf>
          </x14:cfRule>
          <xm:sqref>N33</xm:sqref>
        </x14:conditionalFormatting>
        <x14:conditionalFormatting xmlns:xm="http://schemas.microsoft.com/office/excel/2006/main">
          <x14:cfRule type="expression" priority="3464" id="{10F91EB4-3D6B-406D-A53C-9868780B78BF}">
            <xm:f>$Z$8='Assessment Details'!$Q$23</xm:f>
            <x14:dxf>
              <font>
                <color theme="0"/>
              </font>
              <fill>
                <patternFill>
                  <bgColor theme="0"/>
                </patternFill>
              </fill>
            </x14:dxf>
          </x14:cfRule>
          <xm:sqref>X33:Y33</xm:sqref>
        </x14:conditionalFormatting>
        <x14:conditionalFormatting xmlns:xm="http://schemas.microsoft.com/office/excel/2006/main">
          <x14:cfRule type="expression" priority="3463" id="{D97093BF-466C-4308-85C2-FDB1D1296701}">
            <xm:f>$Z$8='Assessment Details'!$Q$23</xm:f>
            <x14:dxf>
              <border>
                <left style="thin">
                  <color theme="0"/>
                </left>
                <right style="thin">
                  <color theme="0"/>
                </right>
                <top style="thin">
                  <color theme="0"/>
                </top>
                <bottom style="thin">
                  <color theme="0"/>
                </bottom>
                <vertical/>
                <horizontal/>
              </border>
            </x14:dxf>
          </x14:cfRule>
          <xm:sqref>X33:Y33</xm:sqref>
        </x14:conditionalFormatting>
        <x14:conditionalFormatting xmlns:xm="http://schemas.microsoft.com/office/excel/2006/main">
          <x14:cfRule type="expression" priority="3450" id="{9D40A64A-1A5D-47C4-85D0-414185D1DDD7}">
            <xm:f>$S$8='Assessment Details'!$Q$23</xm:f>
            <x14:dxf>
              <font>
                <color theme="0"/>
              </font>
              <fill>
                <patternFill>
                  <bgColor theme="0"/>
                </patternFill>
              </fill>
              <border>
                <vertical/>
                <horizontal/>
              </border>
            </x14:dxf>
          </x14:cfRule>
          <xm:sqref>N34</xm:sqref>
        </x14:conditionalFormatting>
        <x14:conditionalFormatting xmlns:xm="http://schemas.microsoft.com/office/excel/2006/main">
          <x14:cfRule type="expression" priority="3449" id="{17F35FEC-BD80-4030-8F69-22539DD26437}">
            <xm:f>$S$8='Assessment Details'!$Q$23</xm:f>
            <x14:dxf>
              <border>
                <left style="thin">
                  <color theme="0"/>
                </left>
                <right style="thin">
                  <color theme="0"/>
                </right>
                <top style="thin">
                  <color theme="0"/>
                </top>
                <bottom style="thin">
                  <color theme="0"/>
                </bottom>
                <vertical/>
                <horizontal/>
              </border>
            </x14:dxf>
          </x14:cfRule>
          <xm:sqref>N34</xm:sqref>
        </x14:conditionalFormatting>
        <x14:conditionalFormatting xmlns:xm="http://schemas.microsoft.com/office/excel/2006/main">
          <x14:cfRule type="expression" priority="3448" id="{56402DFA-9922-456D-8512-574F77753863}">
            <xm:f>$Z$8='Assessment Details'!$Q$23</xm:f>
            <x14:dxf>
              <font>
                <color theme="0"/>
              </font>
              <fill>
                <patternFill>
                  <bgColor theme="0"/>
                </patternFill>
              </fill>
            </x14:dxf>
          </x14:cfRule>
          <xm:sqref>X34:Y34</xm:sqref>
        </x14:conditionalFormatting>
        <x14:conditionalFormatting xmlns:xm="http://schemas.microsoft.com/office/excel/2006/main">
          <x14:cfRule type="expression" priority="3447" id="{652B0D8E-CAF5-420E-879E-68C784E00640}">
            <xm:f>$Z$8='Assessment Details'!$Q$23</xm:f>
            <x14:dxf>
              <border>
                <left style="thin">
                  <color theme="0"/>
                </left>
                <right style="thin">
                  <color theme="0"/>
                </right>
                <top style="thin">
                  <color theme="0"/>
                </top>
                <bottom style="thin">
                  <color theme="0"/>
                </bottom>
                <vertical/>
                <horizontal/>
              </border>
            </x14:dxf>
          </x14:cfRule>
          <xm:sqref>X34:Y34</xm:sqref>
        </x14:conditionalFormatting>
        <x14:conditionalFormatting xmlns:xm="http://schemas.microsoft.com/office/excel/2006/main">
          <x14:cfRule type="expression" priority="3379" id="{A51A9EE3-A346-4A7D-9CC4-6F74F48CB346}">
            <xm:f>$Z$8='Assessment Details'!$Q$23</xm:f>
            <x14:dxf>
              <font>
                <color theme="0"/>
              </font>
              <fill>
                <patternFill>
                  <bgColor theme="0"/>
                </patternFill>
              </fill>
            </x14:dxf>
          </x14:cfRule>
          <xm:sqref>U12:U14</xm:sqref>
        </x14:conditionalFormatting>
        <x14:conditionalFormatting xmlns:xm="http://schemas.microsoft.com/office/excel/2006/main">
          <x14:cfRule type="expression" priority="3378" id="{13859A7A-761F-40DE-93AE-0C3FE6143BC4}">
            <xm:f>$Z$8='Assessment Details'!$Q$23</xm:f>
            <x14:dxf>
              <border>
                <left style="thin">
                  <color theme="0"/>
                </left>
                <right style="thin">
                  <color theme="0"/>
                </right>
                <top style="thin">
                  <color theme="0"/>
                </top>
                <bottom style="thin">
                  <color theme="0"/>
                </bottom>
                <vertical/>
                <horizontal/>
              </border>
            </x14:dxf>
          </x14:cfRule>
          <xm:sqref>U12:U14</xm:sqref>
        </x14:conditionalFormatting>
        <x14:conditionalFormatting xmlns:xm="http://schemas.microsoft.com/office/excel/2006/main">
          <x14:cfRule type="expression" priority="3375" id="{9CCA7761-7168-4980-BCB9-AD04377C62A6}">
            <xm:f>$Z$8='Assessment Details'!$Q$23</xm:f>
            <x14:dxf>
              <font>
                <color theme="0"/>
              </font>
              <fill>
                <patternFill>
                  <bgColor theme="0"/>
                </patternFill>
              </fill>
            </x14:dxf>
          </x14:cfRule>
          <xm:sqref>U16</xm:sqref>
        </x14:conditionalFormatting>
        <x14:conditionalFormatting xmlns:xm="http://schemas.microsoft.com/office/excel/2006/main">
          <x14:cfRule type="expression" priority="3374" id="{B1D1F7DB-2F4A-4616-83B0-5513D932E48E}">
            <xm:f>$Z$8='Assessment Details'!$Q$23</xm:f>
            <x14:dxf>
              <border>
                <left style="thin">
                  <color theme="0"/>
                </left>
                <right style="thin">
                  <color theme="0"/>
                </right>
                <top style="thin">
                  <color theme="0"/>
                </top>
                <bottom style="thin">
                  <color theme="0"/>
                </bottom>
                <vertical/>
                <horizontal/>
              </border>
            </x14:dxf>
          </x14:cfRule>
          <xm:sqref>U16</xm:sqref>
        </x14:conditionalFormatting>
        <x14:conditionalFormatting xmlns:xm="http://schemas.microsoft.com/office/excel/2006/main">
          <x14:cfRule type="expression" priority="3371" id="{B0A2CEFF-3203-4EFC-97E6-4FD644D6FD19}">
            <xm:f>$Z$8='Assessment Details'!$Q$23</xm:f>
            <x14:dxf>
              <font>
                <color theme="0"/>
              </font>
              <fill>
                <patternFill>
                  <bgColor theme="0"/>
                </patternFill>
              </fill>
            </x14:dxf>
          </x14:cfRule>
          <xm:sqref>U18:U19</xm:sqref>
        </x14:conditionalFormatting>
        <x14:conditionalFormatting xmlns:xm="http://schemas.microsoft.com/office/excel/2006/main">
          <x14:cfRule type="expression" priority="3370" id="{ADE3DB88-2496-4BE7-BDC3-B98ACF16BED3}">
            <xm:f>$Z$8='Assessment Details'!$Q$23</xm:f>
            <x14:dxf>
              <border>
                <left style="thin">
                  <color theme="0"/>
                </left>
                <right style="thin">
                  <color theme="0"/>
                </right>
                <top style="thin">
                  <color theme="0"/>
                </top>
                <bottom style="thin">
                  <color theme="0"/>
                </bottom>
                <vertical/>
                <horizontal/>
              </border>
            </x14:dxf>
          </x14:cfRule>
          <xm:sqref>U18:U19</xm:sqref>
        </x14:conditionalFormatting>
        <x14:conditionalFormatting xmlns:xm="http://schemas.microsoft.com/office/excel/2006/main">
          <x14:cfRule type="expression" priority="3367" id="{7E6D2CFE-5AF3-4ACA-B0B1-DADF3C9267AB}">
            <xm:f>$Z$8='Assessment Details'!$Q$23</xm:f>
            <x14:dxf>
              <font>
                <color theme="0"/>
              </font>
              <fill>
                <patternFill>
                  <bgColor theme="0"/>
                </patternFill>
              </fill>
            </x14:dxf>
          </x14:cfRule>
          <xm:sqref>U21:U24</xm:sqref>
        </x14:conditionalFormatting>
        <x14:conditionalFormatting xmlns:xm="http://schemas.microsoft.com/office/excel/2006/main">
          <x14:cfRule type="expression" priority="3366" id="{CF39A711-10F3-41D6-B598-205336331052}">
            <xm:f>$Z$8='Assessment Details'!$Q$23</xm:f>
            <x14:dxf>
              <border>
                <left style="thin">
                  <color theme="0"/>
                </left>
                <right style="thin">
                  <color theme="0"/>
                </right>
                <top style="thin">
                  <color theme="0"/>
                </top>
                <bottom style="thin">
                  <color theme="0"/>
                </bottom>
                <vertical/>
                <horizontal/>
              </border>
            </x14:dxf>
          </x14:cfRule>
          <xm:sqref>U21:U24</xm:sqref>
        </x14:conditionalFormatting>
        <x14:conditionalFormatting xmlns:xm="http://schemas.microsoft.com/office/excel/2006/main">
          <x14:cfRule type="expression" priority="3363" id="{4DC1D019-7687-4557-AA3C-2EAB0E799B24}">
            <xm:f>$Z$8='Assessment Details'!$Q$23</xm:f>
            <x14:dxf>
              <font>
                <color theme="0"/>
              </font>
              <fill>
                <patternFill>
                  <bgColor theme="0"/>
                </patternFill>
              </fill>
            </x14:dxf>
          </x14:cfRule>
          <xm:sqref>U28:U30</xm:sqref>
        </x14:conditionalFormatting>
        <x14:conditionalFormatting xmlns:xm="http://schemas.microsoft.com/office/excel/2006/main">
          <x14:cfRule type="expression" priority="3362" id="{C3B9F756-BA02-4BE4-A786-0959C2B9093C}">
            <xm:f>$Z$8='Assessment Details'!$Q$23</xm:f>
            <x14:dxf>
              <border>
                <left style="thin">
                  <color theme="0"/>
                </left>
                <right style="thin">
                  <color theme="0"/>
                </right>
                <top style="thin">
                  <color theme="0"/>
                </top>
                <bottom style="thin">
                  <color theme="0"/>
                </bottom>
                <vertical/>
                <horizontal/>
              </border>
            </x14:dxf>
          </x14:cfRule>
          <xm:sqref>U28:U30</xm:sqref>
        </x14:conditionalFormatting>
        <x14:conditionalFormatting xmlns:xm="http://schemas.microsoft.com/office/excel/2006/main">
          <x14:cfRule type="expression" priority="3359" id="{9D8EAA10-831B-47F6-9880-B672D74A7B47}">
            <xm:f>$Z$8='Assessment Details'!$Q$23</xm:f>
            <x14:dxf>
              <font>
                <color theme="0"/>
              </font>
              <fill>
                <patternFill>
                  <bgColor theme="0"/>
                </patternFill>
              </fill>
            </x14:dxf>
          </x14:cfRule>
          <xm:sqref>U32:U34</xm:sqref>
        </x14:conditionalFormatting>
        <x14:conditionalFormatting xmlns:xm="http://schemas.microsoft.com/office/excel/2006/main">
          <x14:cfRule type="expression" priority="3358" id="{8D490185-C11D-4E2C-A262-0F04EC874789}">
            <xm:f>$Z$8='Assessment Details'!$Q$23</xm:f>
            <x14:dxf>
              <border>
                <left style="thin">
                  <color theme="0"/>
                </left>
                <right style="thin">
                  <color theme="0"/>
                </right>
                <top style="thin">
                  <color theme="0"/>
                </top>
                <bottom style="thin">
                  <color theme="0"/>
                </bottom>
                <vertical/>
                <horizontal/>
              </border>
            </x14:dxf>
          </x14:cfRule>
          <xm:sqref>U32:U34</xm:sqref>
        </x14:conditionalFormatting>
        <x14:conditionalFormatting xmlns:xm="http://schemas.microsoft.com/office/excel/2006/main">
          <x14:cfRule type="expression" priority="1246" id="{1157C328-2960-4AAC-B89F-17A69C6D9E95}">
            <xm:f>$Z$8='Assessment Details'!$Q$23</xm:f>
            <x14:dxf>
              <border>
                <left style="thin">
                  <color theme="0"/>
                </left>
                <right style="thin">
                  <color theme="0"/>
                </right>
                <top style="thin">
                  <color theme="0"/>
                </top>
                <bottom style="thin">
                  <color theme="0"/>
                </bottom>
                <vertical/>
                <horizontal/>
              </border>
            </x14:dxf>
          </x14:cfRule>
          <xm:sqref>U206:U207</xm:sqref>
        </x14:conditionalFormatting>
        <x14:conditionalFormatting xmlns:xm="http://schemas.microsoft.com/office/excel/2006/main">
          <x14:cfRule type="expression" priority="3344" id="{6C3AC176-5C03-43AC-B982-5A5210702F2C}">
            <xm:f>$S$8='Assessment Details'!$Q$23</xm:f>
            <x14:dxf>
              <font>
                <color theme="0"/>
              </font>
              <fill>
                <patternFill>
                  <bgColor theme="0"/>
                </patternFill>
              </fill>
              <border>
                <vertical/>
                <horizontal/>
              </border>
            </x14:dxf>
          </x14:cfRule>
          <xm:sqref>Q38:R40</xm:sqref>
        </x14:conditionalFormatting>
        <x14:conditionalFormatting xmlns:xm="http://schemas.microsoft.com/office/excel/2006/main">
          <x14:cfRule type="expression" priority="3343" id="{DDB385AE-37C4-40DB-A9DD-5D96C9F8473F}">
            <xm:f>$S$8='Assessment Details'!$Q$23</xm:f>
            <x14:dxf>
              <border>
                <left style="thin">
                  <color theme="0"/>
                </left>
                <right style="thin">
                  <color theme="0"/>
                </right>
                <top style="thin">
                  <color theme="0"/>
                </top>
                <bottom style="thin">
                  <color theme="0"/>
                </bottom>
                <vertical/>
                <horizontal/>
              </border>
            </x14:dxf>
          </x14:cfRule>
          <xm:sqref>Q38:R40</xm:sqref>
        </x14:conditionalFormatting>
        <x14:conditionalFormatting xmlns:xm="http://schemas.microsoft.com/office/excel/2006/main">
          <x14:cfRule type="expression" priority="3342" id="{922435A6-256D-41EC-B350-F35DE030C64C}">
            <xm:f>$Z$8='Assessment Details'!$Q$23</xm:f>
            <x14:dxf>
              <font>
                <color theme="0"/>
              </font>
              <fill>
                <patternFill>
                  <bgColor theme="0"/>
                </patternFill>
              </fill>
            </x14:dxf>
          </x14:cfRule>
          <xm:sqref>X38:Y40</xm:sqref>
        </x14:conditionalFormatting>
        <x14:conditionalFormatting xmlns:xm="http://schemas.microsoft.com/office/excel/2006/main">
          <x14:cfRule type="expression" priority="3341" id="{30653C29-5FEC-4020-A8A1-BF730558D507}">
            <xm:f>$Z$8='Assessment Details'!$Q$23</xm:f>
            <x14:dxf>
              <border>
                <left style="thin">
                  <color theme="0"/>
                </left>
                <right style="thin">
                  <color theme="0"/>
                </right>
                <top style="thin">
                  <color theme="0"/>
                </top>
                <bottom style="thin">
                  <color theme="0"/>
                </bottom>
                <vertical/>
                <horizontal/>
              </border>
            </x14:dxf>
          </x14:cfRule>
          <xm:sqref>X38:Y40</xm:sqref>
        </x14:conditionalFormatting>
        <x14:conditionalFormatting xmlns:xm="http://schemas.microsoft.com/office/excel/2006/main">
          <x14:cfRule type="expression" priority="3323" id="{C5FDD142-AD61-4957-894A-D69E602D3558}">
            <xm:f>$S$8='Assessment Details'!$Q$23</xm:f>
            <x14:dxf>
              <font>
                <color theme="0"/>
              </font>
              <fill>
                <patternFill>
                  <bgColor theme="0"/>
                </patternFill>
              </fill>
              <border>
                <vertical/>
                <horizontal/>
              </border>
            </x14:dxf>
          </x14:cfRule>
          <xm:sqref>Q66:R66</xm:sqref>
        </x14:conditionalFormatting>
        <x14:conditionalFormatting xmlns:xm="http://schemas.microsoft.com/office/excel/2006/main">
          <x14:cfRule type="expression" priority="3322" id="{9DB8FE42-9040-4E4E-A9EA-F4D2918927B9}">
            <xm:f>$S$8='Assessment Details'!$Q$23</xm:f>
            <x14:dxf>
              <border>
                <left style="thin">
                  <color theme="0"/>
                </left>
                <right style="thin">
                  <color theme="0"/>
                </right>
                <top style="thin">
                  <color theme="0"/>
                </top>
                <bottom style="thin">
                  <color theme="0"/>
                </bottom>
                <vertical/>
                <horizontal/>
              </border>
            </x14:dxf>
          </x14:cfRule>
          <xm:sqref>Q66:R66</xm:sqref>
        </x14:conditionalFormatting>
        <x14:conditionalFormatting xmlns:xm="http://schemas.microsoft.com/office/excel/2006/main">
          <x14:cfRule type="expression" priority="3321" id="{2CA6F8E7-D3DE-4547-8A93-31B420D3AA32}">
            <xm:f>$Z$8='Assessment Details'!$Q$23</xm:f>
            <x14:dxf>
              <font>
                <color theme="0"/>
              </font>
              <fill>
                <patternFill>
                  <bgColor theme="0"/>
                </patternFill>
              </fill>
            </x14:dxf>
          </x14:cfRule>
          <xm:sqref>X66:Y66</xm:sqref>
        </x14:conditionalFormatting>
        <x14:conditionalFormatting xmlns:xm="http://schemas.microsoft.com/office/excel/2006/main">
          <x14:cfRule type="expression" priority="3320" id="{EB20820A-77BD-428A-B963-01B423B6B520}">
            <xm:f>$Z$8='Assessment Details'!$Q$23</xm:f>
            <x14:dxf>
              <border>
                <left style="thin">
                  <color theme="0"/>
                </left>
                <right style="thin">
                  <color theme="0"/>
                </right>
                <top style="thin">
                  <color theme="0"/>
                </top>
                <bottom style="thin">
                  <color theme="0"/>
                </bottom>
                <vertical/>
                <horizontal/>
              </border>
            </x14:dxf>
          </x14:cfRule>
          <xm:sqref>X66:Y66</xm:sqref>
        </x14:conditionalFormatting>
        <x14:conditionalFormatting xmlns:xm="http://schemas.microsoft.com/office/excel/2006/main">
          <x14:cfRule type="expression" priority="3302" id="{9BE243BD-939B-4B2A-8445-545F1AAAA016}">
            <xm:f>$S$8='Assessment Details'!$Q$23</xm:f>
            <x14:dxf>
              <font>
                <color theme="0"/>
              </font>
              <fill>
                <patternFill>
                  <bgColor theme="0"/>
                </patternFill>
              </fill>
              <border>
                <vertical/>
                <horizontal/>
              </border>
            </x14:dxf>
          </x14:cfRule>
          <xm:sqref>Q95:R95</xm:sqref>
        </x14:conditionalFormatting>
        <x14:conditionalFormatting xmlns:xm="http://schemas.microsoft.com/office/excel/2006/main">
          <x14:cfRule type="expression" priority="3301" id="{31D3F3DC-A5A6-43F7-A84E-47847D571250}">
            <xm:f>$S$8='Assessment Details'!$Q$23</xm:f>
            <x14:dxf>
              <border>
                <left style="thin">
                  <color theme="0"/>
                </left>
                <right style="thin">
                  <color theme="0"/>
                </right>
                <top style="thin">
                  <color theme="0"/>
                </top>
                <bottom style="thin">
                  <color theme="0"/>
                </bottom>
                <vertical/>
                <horizontal/>
              </border>
            </x14:dxf>
          </x14:cfRule>
          <xm:sqref>Q95:R95</xm:sqref>
        </x14:conditionalFormatting>
        <x14:conditionalFormatting xmlns:xm="http://schemas.microsoft.com/office/excel/2006/main">
          <x14:cfRule type="expression" priority="3300" id="{0D96B168-A075-4ACA-972F-7C5BD9EDF006}">
            <xm:f>$Z$8='Assessment Details'!$Q$23</xm:f>
            <x14:dxf>
              <font>
                <color theme="0"/>
              </font>
              <fill>
                <patternFill>
                  <bgColor theme="0"/>
                </patternFill>
              </fill>
            </x14:dxf>
          </x14:cfRule>
          <xm:sqref>X95:Y95</xm:sqref>
        </x14:conditionalFormatting>
        <x14:conditionalFormatting xmlns:xm="http://schemas.microsoft.com/office/excel/2006/main">
          <x14:cfRule type="expression" priority="3299" id="{BEDE4353-73BB-4268-9782-D92BFDFF7B2F}">
            <xm:f>$Z$8='Assessment Details'!$Q$23</xm:f>
            <x14:dxf>
              <border>
                <left style="thin">
                  <color theme="0"/>
                </left>
                <right style="thin">
                  <color theme="0"/>
                </right>
                <top style="thin">
                  <color theme="0"/>
                </top>
                <bottom style="thin">
                  <color theme="0"/>
                </bottom>
                <vertical/>
                <horizontal/>
              </border>
            </x14:dxf>
          </x14:cfRule>
          <xm:sqref>X95:Y95</xm:sqref>
        </x14:conditionalFormatting>
        <x14:conditionalFormatting xmlns:xm="http://schemas.microsoft.com/office/excel/2006/main">
          <x14:cfRule type="expression" priority="3281" id="{BD646086-7FEC-4608-8260-A1539322D6DC}">
            <xm:f>$S$8='Assessment Details'!$Q$23</xm:f>
            <x14:dxf>
              <font>
                <color theme="0"/>
              </font>
              <fill>
                <patternFill>
                  <bgColor theme="0"/>
                </patternFill>
              </fill>
              <border>
                <vertical/>
                <horizontal/>
              </border>
            </x14:dxf>
          </x14:cfRule>
          <xm:sqref>Q104:R104</xm:sqref>
        </x14:conditionalFormatting>
        <x14:conditionalFormatting xmlns:xm="http://schemas.microsoft.com/office/excel/2006/main">
          <x14:cfRule type="expression" priority="3280" id="{EEA9CA69-870A-4711-A0E3-C79AA489B52D}">
            <xm:f>$S$8='Assessment Details'!$Q$23</xm:f>
            <x14:dxf>
              <border>
                <left style="thin">
                  <color theme="0"/>
                </left>
                <right style="thin">
                  <color theme="0"/>
                </right>
                <top style="thin">
                  <color theme="0"/>
                </top>
                <bottom style="thin">
                  <color theme="0"/>
                </bottom>
                <vertical/>
                <horizontal/>
              </border>
            </x14:dxf>
          </x14:cfRule>
          <xm:sqref>Q104:R104</xm:sqref>
        </x14:conditionalFormatting>
        <x14:conditionalFormatting xmlns:xm="http://schemas.microsoft.com/office/excel/2006/main">
          <x14:cfRule type="expression" priority="3279" id="{26400E7D-6B6F-447E-83D4-8FC0EB5CF78E}">
            <xm:f>$Z$8='Assessment Details'!$Q$23</xm:f>
            <x14:dxf>
              <font>
                <color theme="0"/>
              </font>
              <fill>
                <patternFill>
                  <bgColor theme="0"/>
                </patternFill>
              </fill>
            </x14:dxf>
          </x14:cfRule>
          <xm:sqref>X104:Y104</xm:sqref>
        </x14:conditionalFormatting>
        <x14:conditionalFormatting xmlns:xm="http://schemas.microsoft.com/office/excel/2006/main">
          <x14:cfRule type="expression" priority="3278" id="{F8A3620C-8EF9-428C-A90A-9C7C4BFC7B8F}">
            <xm:f>$Z$8='Assessment Details'!$Q$23</xm:f>
            <x14:dxf>
              <border>
                <left style="thin">
                  <color theme="0"/>
                </left>
                <right style="thin">
                  <color theme="0"/>
                </right>
                <top style="thin">
                  <color theme="0"/>
                </top>
                <bottom style="thin">
                  <color theme="0"/>
                </bottom>
                <vertical/>
                <horizontal/>
              </border>
            </x14:dxf>
          </x14:cfRule>
          <xm:sqref>X104:Y104</xm:sqref>
        </x14:conditionalFormatting>
        <x14:conditionalFormatting xmlns:xm="http://schemas.microsoft.com/office/excel/2006/main">
          <x14:cfRule type="expression" priority="3260" id="{1421B727-C568-499F-B397-D12CBB809207}">
            <xm:f>$S$8='Assessment Details'!$Q$23</xm:f>
            <x14:dxf>
              <font>
                <color theme="0"/>
              </font>
              <fill>
                <patternFill>
                  <bgColor theme="0"/>
                </patternFill>
              </fill>
              <border>
                <vertical/>
                <horizontal/>
              </border>
            </x14:dxf>
          </x14:cfRule>
          <xm:sqref>Q118:R118</xm:sqref>
        </x14:conditionalFormatting>
        <x14:conditionalFormatting xmlns:xm="http://schemas.microsoft.com/office/excel/2006/main">
          <x14:cfRule type="expression" priority="3259" id="{8B0E32BB-5BEA-47CD-9C01-AAF17FE22052}">
            <xm:f>$S$8='Assessment Details'!$Q$23</xm:f>
            <x14:dxf>
              <border>
                <left style="thin">
                  <color theme="0"/>
                </left>
                <right style="thin">
                  <color theme="0"/>
                </right>
                <top style="thin">
                  <color theme="0"/>
                </top>
                <bottom style="thin">
                  <color theme="0"/>
                </bottom>
                <vertical/>
                <horizontal/>
              </border>
            </x14:dxf>
          </x14:cfRule>
          <xm:sqref>Q118:R118</xm:sqref>
        </x14:conditionalFormatting>
        <x14:conditionalFormatting xmlns:xm="http://schemas.microsoft.com/office/excel/2006/main">
          <x14:cfRule type="expression" priority="3258" id="{C13FC868-E52F-4756-B818-0A85DAE4126A}">
            <xm:f>$Z$8='Assessment Details'!$Q$23</xm:f>
            <x14:dxf>
              <font>
                <color theme="0"/>
              </font>
              <fill>
                <patternFill>
                  <bgColor theme="0"/>
                </patternFill>
              </fill>
            </x14:dxf>
          </x14:cfRule>
          <xm:sqref>X118:Y118</xm:sqref>
        </x14:conditionalFormatting>
        <x14:conditionalFormatting xmlns:xm="http://schemas.microsoft.com/office/excel/2006/main">
          <x14:cfRule type="expression" priority="3257" id="{88FDF083-3680-4574-BAB7-515BC4B41E56}">
            <xm:f>$Z$8='Assessment Details'!$Q$23</xm:f>
            <x14:dxf>
              <border>
                <left style="thin">
                  <color theme="0"/>
                </left>
                <right style="thin">
                  <color theme="0"/>
                </right>
                <top style="thin">
                  <color theme="0"/>
                </top>
                <bottom style="thin">
                  <color theme="0"/>
                </bottom>
                <vertical/>
                <horizontal/>
              </border>
            </x14:dxf>
          </x14:cfRule>
          <xm:sqref>X118:Y118</xm:sqref>
        </x14:conditionalFormatting>
        <x14:conditionalFormatting xmlns:xm="http://schemas.microsoft.com/office/excel/2006/main">
          <x14:cfRule type="expression" priority="3239" id="{81F3038F-426F-4747-8900-DBE5B652BCC2}">
            <xm:f>$S$8='Assessment Details'!$Q$23</xm:f>
            <x14:dxf>
              <font>
                <color theme="0"/>
              </font>
              <fill>
                <patternFill>
                  <bgColor theme="0"/>
                </patternFill>
              </fill>
              <border>
                <vertical/>
                <horizontal/>
              </border>
            </x14:dxf>
          </x14:cfRule>
          <xm:sqref>Q148:R148</xm:sqref>
        </x14:conditionalFormatting>
        <x14:conditionalFormatting xmlns:xm="http://schemas.microsoft.com/office/excel/2006/main">
          <x14:cfRule type="expression" priority="3238" id="{28CCF0C5-F228-4C53-8E33-EBBA0F28B7CE}">
            <xm:f>$S$8='Assessment Details'!$Q$23</xm:f>
            <x14:dxf>
              <border>
                <left style="thin">
                  <color theme="0"/>
                </left>
                <right style="thin">
                  <color theme="0"/>
                </right>
                <top style="thin">
                  <color theme="0"/>
                </top>
                <bottom style="thin">
                  <color theme="0"/>
                </bottom>
                <vertical/>
                <horizontal/>
              </border>
            </x14:dxf>
          </x14:cfRule>
          <xm:sqref>Q148:R148</xm:sqref>
        </x14:conditionalFormatting>
        <x14:conditionalFormatting xmlns:xm="http://schemas.microsoft.com/office/excel/2006/main">
          <x14:cfRule type="expression" priority="3237" id="{7383BAE4-3D48-4869-9E46-23F6B5EB3A82}">
            <xm:f>$Z$8='Assessment Details'!$Q$23</xm:f>
            <x14:dxf>
              <font>
                <color theme="0"/>
              </font>
              <fill>
                <patternFill>
                  <bgColor theme="0"/>
                </patternFill>
              </fill>
            </x14:dxf>
          </x14:cfRule>
          <xm:sqref>X148:Y148</xm:sqref>
        </x14:conditionalFormatting>
        <x14:conditionalFormatting xmlns:xm="http://schemas.microsoft.com/office/excel/2006/main">
          <x14:cfRule type="expression" priority="3236" id="{FCFE5056-63F8-452F-AED4-120DD2450C0C}">
            <xm:f>$Z$8='Assessment Details'!$Q$23</xm:f>
            <x14:dxf>
              <border>
                <left style="thin">
                  <color theme="0"/>
                </left>
                <right style="thin">
                  <color theme="0"/>
                </right>
                <top style="thin">
                  <color theme="0"/>
                </top>
                <bottom style="thin">
                  <color theme="0"/>
                </bottom>
                <vertical/>
                <horizontal/>
              </border>
            </x14:dxf>
          </x14:cfRule>
          <xm:sqref>X148:Y148</xm:sqref>
        </x14:conditionalFormatting>
        <x14:conditionalFormatting xmlns:xm="http://schemas.microsoft.com/office/excel/2006/main">
          <x14:cfRule type="expression" priority="3218" id="{0444930C-4CE3-44D2-BC81-4C1D88FCCA1B}">
            <xm:f>$S$8='Assessment Details'!$Q$23</xm:f>
            <x14:dxf>
              <font>
                <color theme="0"/>
              </font>
              <fill>
                <patternFill>
                  <bgColor theme="0"/>
                </patternFill>
              </fill>
              <border>
                <vertical/>
                <horizontal/>
              </border>
            </x14:dxf>
          </x14:cfRule>
          <xm:sqref>Q163:R163</xm:sqref>
        </x14:conditionalFormatting>
        <x14:conditionalFormatting xmlns:xm="http://schemas.microsoft.com/office/excel/2006/main">
          <x14:cfRule type="expression" priority="3217" id="{2DBE5A5D-98A8-4AE5-BC54-26B6836E0BC9}">
            <xm:f>$S$8='Assessment Details'!$Q$23</xm:f>
            <x14:dxf>
              <border>
                <left style="thin">
                  <color theme="0"/>
                </left>
                <right style="thin">
                  <color theme="0"/>
                </right>
                <top style="thin">
                  <color theme="0"/>
                </top>
                <bottom style="thin">
                  <color theme="0"/>
                </bottom>
                <vertical/>
                <horizontal/>
              </border>
            </x14:dxf>
          </x14:cfRule>
          <xm:sqref>Q163:R163</xm:sqref>
        </x14:conditionalFormatting>
        <x14:conditionalFormatting xmlns:xm="http://schemas.microsoft.com/office/excel/2006/main">
          <x14:cfRule type="expression" priority="3216" id="{CAF06E05-9020-4AD1-8454-3BB6ED627400}">
            <xm:f>$Z$8='Assessment Details'!$Q$23</xm:f>
            <x14:dxf>
              <font>
                <color theme="0"/>
              </font>
              <fill>
                <patternFill>
                  <bgColor theme="0"/>
                </patternFill>
              </fill>
            </x14:dxf>
          </x14:cfRule>
          <xm:sqref>X163:Y163</xm:sqref>
        </x14:conditionalFormatting>
        <x14:conditionalFormatting xmlns:xm="http://schemas.microsoft.com/office/excel/2006/main">
          <x14:cfRule type="expression" priority="3215" id="{263A6C7E-BA95-4754-8A43-ED99E15179A0}">
            <xm:f>$Z$8='Assessment Details'!$Q$23</xm:f>
            <x14:dxf>
              <border>
                <left style="thin">
                  <color theme="0"/>
                </left>
                <right style="thin">
                  <color theme="0"/>
                </right>
                <top style="thin">
                  <color theme="0"/>
                </top>
                <bottom style="thin">
                  <color theme="0"/>
                </bottom>
                <vertical/>
                <horizontal/>
              </border>
            </x14:dxf>
          </x14:cfRule>
          <xm:sqref>X163:Y163</xm:sqref>
        </x14:conditionalFormatting>
        <x14:conditionalFormatting xmlns:xm="http://schemas.microsoft.com/office/excel/2006/main">
          <x14:cfRule type="expression" priority="3197" id="{CFFC450B-3C88-4BFB-ACDE-B81081183CE2}">
            <xm:f>$S$8='Assessment Details'!$Q$23</xm:f>
            <x14:dxf>
              <font>
                <color theme="0"/>
              </font>
              <fill>
                <patternFill>
                  <bgColor theme="0"/>
                </patternFill>
              </fill>
              <border>
                <vertical/>
                <horizontal/>
              </border>
            </x14:dxf>
          </x14:cfRule>
          <xm:sqref>Q194:R194</xm:sqref>
        </x14:conditionalFormatting>
        <x14:conditionalFormatting xmlns:xm="http://schemas.microsoft.com/office/excel/2006/main">
          <x14:cfRule type="expression" priority="3196" id="{2DEBF06C-E242-4F1F-A859-338D0E5EDD24}">
            <xm:f>$S$8='Assessment Details'!$Q$23</xm:f>
            <x14:dxf>
              <border>
                <left style="thin">
                  <color theme="0"/>
                </left>
                <right style="thin">
                  <color theme="0"/>
                </right>
                <top style="thin">
                  <color theme="0"/>
                </top>
                <bottom style="thin">
                  <color theme="0"/>
                </bottom>
                <vertical/>
                <horizontal/>
              </border>
            </x14:dxf>
          </x14:cfRule>
          <xm:sqref>Q194:R194</xm:sqref>
        </x14:conditionalFormatting>
        <x14:conditionalFormatting xmlns:xm="http://schemas.microsoft.com/office/excel/2006/main">
          <x14:cfRule type="expression" priority="3195" id="{DEC4FF61-29DE-4AF0-9EA4-ABA92DE9431F}">
            <xm:f>$Z$8='Assessment Details'!$Q$23</xm:f>
            <x14:dxf>
              <font>
                <color theme="0"/>
              </font>
              <fill>
                <patternFill>
                  <bgColor theme="0"/>
                </patternFill>
              </fill>
            </x14:dxf>
          </x14:cfRule>
          <xm:sqref>X194:Y194</xm:sqref>
        </x14:conditionalFormatting>
        <x14:conditionalFormatting xmlns:xm="http://schemas.microsoft.com/office/excel/2006/main">
          <x14:cfRule type="expression" priority="3194" id="{DC296F35-B16D-4F66-B19D-31F96D1F6B50}">
            <xm:f>$Z$8='Assessment Details'!$Q$23</xm:f>
            <x14:dxf>
              <border>
                <left style="thin">
                  <color theme="0"/>
                </left>
                <right style="thin">
                  <color theme="0"/>
                </right>
                <top style="thin">
                  <color theme="0"/>
                </top>
                <bottom style="thin">
                  <color theme="0"/>
                </bottom>
                <vertical/>
                <horizontal/>
              </border>
            </x14:dxf>
          </x14:cfRule>
          <xm:sqref>X194:Y194</xm:sqref>
        </x14:conditionalFormatting>
        <x14:conditionalFormatting xmlns:xm="http://schemas.microsoft.com/office/excel/2006/main">
          <x14:cfRule type="expression" priority="3180" id="{6A17C14E-95CA-4F1C-941A-66E9A1A1F0C1}">
            <xm:f>$S$8='Assessment Details'!$Q$23</xm:f>
            <x14:dxf>
              <font>
                <color theme="0"/>
              </font>
              <fill>
                <patternFill>
                  <bgColor theme="0"/>
                </patternFill>
              </fill>
              <border>
                <vertical/>
                <horizontal/>
              </border>
            </x14:dxf>
          </x14:cfRule>
          <xm:sqref>Q46:R46</xm:sqref>
        </x14:conditionalFormatting>
        <x14:conditionalFormatting xmlns:xm="http://schemas.microsoft.com/office/excel/2006/main">
          <x14:cfRule type="expression" priority="3179" id="{F769F6F4-F7AE-411A-9AB4-D2BEE81131E4}">
            <xm:f>$S$8='Assessment Details'!$Q$23</xm:f>
            <x14:dxf>
              <border>
                <left style="thin">
                  <color theme="0"/>
                </left>
                <right style="thin">
                  <color theme="0"/>
                </right>
                <top style="thin">
                  <color theme="0"/>
                </top>
                <bottom style="thin">
                  <color theme="0"/>
                </bottom>
                <vertical/>
                <horizontal/>
              </border>
            </x14:dxf>
          </x14:cfRule>
          <xm:sqref>Q46:R46</xm:sqref>
        </x14:conditionalFormatting>
        <x14:conditionalFormatting xmlns:xm="http://schemas.microsoft.com/office/excel/2006/main">
          <x14:cfRule type="expression" priority="3178" id="{A0788221-5360-4C20-8F7C-C13BEF4AB25B}">
            <xm:f>$Z$8='Assessment Details'!$Q$23</xm:f>
            <x14:dxf>
              <font>
                <color theme="0"/>
              </font>
              <fill>
                <patternFill>
                  <bgColor theme="0"/>
                </patternFill>
              </fill>
            </x14:dxf>
          </x14:cfRule>
          <xm:sqref>X46:Y46</xm:sqref>
        </x14:conditionalFormatting>
        <x14:conditionalFormatting xmlns:xm="http://schemas.microsoft.com/office/excel/2006/main">
          <x14:cfRule type="expression" priority="3177" id="{63B44E60-F62E-48F7-B912-3C336492CDB7}">
            <xm:f>$Z$8='Assessment Details'!$Q$23</xm:f>
            <x14:dxf>
              <border>
                <left style="thin">
                  <color theme="0"/>
                </left>
                <right style="thin">
                  <color theme="0"/>
                </right>
                <top style="thin">
                  <color theme="0"/>
                </top>
                <bottom style="thin">
                  <color theme="0"/>
                </bottom>
                <vertical/>
                <horizontal/>
              </border>
            </x14:dxf>
          </x14:cfRule>
          <xm:sqref>X46:Y46</xm:sqref>
        </x14:conditionalFormatting>
        <x14:conditionalFormatting xmlns:xm="http://schemas.microsoft.com/office/excel/2006/main">
          <x14:cfRule type="expression" priority="3158" id="{CBDEB4C6-EF37-4241-8BAA-7739B31D5E1D}">
            <xm:f>$S$8='Assessment Details'!$Q$23</xm:f>
            <x14:dxf>
              <font>
                <color theme="0"/>
              </font>
              <fill>
                <patternFill>
                  <bgColor theme="0"/>
                </patternFill>
              </fill>
              <border>
                <vertical/>
                <horizontal/>
              </border>
            </x14:dxf>
          </x14:cfRule>
          <xm:sqref>Q51:R51</xm:sqref>
        </x14:conditionalFormatting>
        <x14:conditionalFormatting xmlns:xm="http://schemas.microsoft.com/office/excel/2006/main">
          <x14:cfRule type="expression" priority="3157" id="{98C9992C-FC97-4376-8F1F-6C25652AA061}">
            <xm:f>$S$8='Assessment Details'!$Q$23</xm:f>
            <x14:dxf>
              <border>
                <left style="thin">
                  <color theme="0"/>
                </left>
                <right style="thin">
                  <color theme="0"/>
                </right>
                <top style="thin">
                  <color theme="0"/>
                </top>
                <bottom style="thin">
                  <color theme="0"/>
                </bottom>
                <vertical/>
                <horizontal/>
              </border>
            </x14:dxf>
          </x14:cfRule>
          <xm:sqref>Q51:R51</xm:sqref>
        </x14:conditionalFormatting>
        <x14:conditionalFormatting xmlns:xm="http://schemas.microsoft.com/office/excel/2006/main">
          <x14:cfRule type="expression" priority="3156" id="{1E0CC94B-D03A-43E3-ABDB-D0627BB41F93}">
            <xm:f>$Z$8='Assessment Details'!$Q$23</xm:f>
            <x14:dxf>
              <font>
                <color theme="0"/>
              </font>
              <fill>
                <patternFill>
                  <bgColor theme="0"/>
                </patternFill>
              </fill>
            </x14:dxf>
          </x14:cfRule>
          <xm:sqref>X51:Y51</xm:sqref>
        </x14:conditionalFormatting>
        <x14:conditionalFormatting xmlns:xm="http://schemas.microsoft.com/office/excel/2006/main">
          <x14:cfRule type="expression" priority="3155" id="{A0BFE9FF-1D5A-44B7-B8CC-374C010E9FD7}">
            <xm:f>$Z$8='Assessment Details'!$Q$23</xm:f>
            <x14:dxf>
              <border>
                <left style="thin">
                  <color theme="0"/>
                </left>
                <right style="thin">
                  <color theme="0"/>
                </right>
                <top style="thin">
                  <color theme="0"/>
                </top>
                <bottom style="thin">
                  <color theme="0"/>
                </bottom>
                <vertical/>
                <horizontal/>
              </border>
            </x14:dxf>
          </x14:cfRule>
          <xm:sqref>X51:Y51</xm:sqref>
        </x14:conditionalFormatting>
        <x14:conditionalFormatting xmlns:xm="http://schemas.microsoft.com/office/excel/2006/main">
          <x14:cfRule type="expression" priority="3136" id="{9315D916-3649-45C8-B0ED-ACFE0A540766}">
            <xm:f>$S$8='Assessment Details'!$Q$23</xm:f>
            <x14:dxf>
              <font>
                <color theme="0"/>
              </font>
              <fill>
                <patternFill>
                  <bgColor theme="0"/>
                </patternFill>
              </fill>
              <border>
                <vertical/>
                <horizontal/>
              </border>
            </x14:dxf>
          </x14:cfRule>
          <xm:sqref>Q55:R55</xm:sqref>
        </x14:conditionalFormatting>
        <x14:conditionalFormatting xmlns:xm="http://schemas.microsoft.com/office/excel/2006/main">
          <x14:cfRule type="expression" priority="3135" id="{AACA57D1-7737-49BB-B036-00DAFF086512}">
            <xm:f>$S$8='Assessment Details'!$Q$23</xm:f>
            <x14:dxf>
              <border>
                <left style="thin">
                  <color theme="0"/>
                </left>
                <right style="thin">
                  <color theme="0"/>
                </right>
                <top style="thin">
                  <color theme="0"/>
                </top>
                <bottom style="thin">
                  <color theme="0"/>
                </bottom>
                <vertical/>
                <horizontal/>
              </border>
            </x14:dxf>
          </x14:cfRule>
          <xm:sqref>Q55:R55</xm:sqref>
        </x14:conditionalFormatting>
        <x14:conditionalFormatting xmlns:xm="http://schemas.microsoft.com/office/excel/2006/main">
          <x14:cfRule type="expression" priority="3134" id="{43C21B87-38F1-427F-A470-0691091C6BDB}">
            <xm:f>$Z$8='Assessment Details'!$Q$23</xm:f>
            <x14:dxf>
              <font>
                <color theme="0"/>
              </font>
              <fill>
                <patternFill>
                  <bgColor theme="0"/>
                </patternFill>
              </fill>
            </x14:dxf>
          </x14:cfRule>
          <xm:sqref>X55:Y55</xm:sqref>
        </x14:conditionalFormatting>
        <x14:conditionalFormatting xmlns:xm="http://schemas.microsoft.com/office/excel/2006/main">
          <x14:cfRule type="expression" priority="3133" id="{DDB11178-A34E-43ED-9082-874182B16AC8}">
            <xm:f>$Z$8='Assessment Details'!$Q$23</xm:f>
            <x14:dxf>
              <border>
                <left style="thin">
                  <color theme="0"/>
                </left>
                <right style="thin">
                  <color theme="0"/>
                </right>
                <top style="thin">
                  <color theme="0"/>
                </top>
                <bottom style="thin">
                  <color theme="0"/>
                </bottom>
                <vertical/>
                <horizontal/>
              </border>
            </x14:dxf>
          </x14:cfRule>
          <xm:sqref>X55:Y55</xm:sqref>
        </x14:conditionalFormatting>
        <x14:conditionalFormatting xmlns:xm="http://schemas.microsoft.com/office/excel/2006/main">
          <x14:cfRule type="expression" priority="3114" id="{2AAD307E-B81E-482C-9484-1DC14EB803E1}">
            <xm:f>$S$8='Assessment Details'!$Q$23</xm:f>
            <x14:dxf>
              <font>
                <color theme="0"/>
              </font>
              <fill>
                <patternFill>
                  <bgColor theme="0"/>
                </patternFill>
              </fill>
              <border>
                <vertical/>
                <horizontal/>
              </border>
            </x14:dxf>
          </x14:cfRule>
          <xm:sqref>Q58:R58</xm:sqref>
        </x14:conditionalFormatting>
        <x14:conditionalFormatting xmlns:xm="http://schemas.microsoft.com/office/excel/2006/main">
          <x14:cfRule type="expression" priority="3113" id="{C6779728-8D99-4A90-B6F0-6A91A235055A}">
            <xm:f>$S$8='Assessment Details'!$Q$23</xm:f>
            <x14:dxf>
              <border>
                <left style="thin">
                  <color theme="0"/>
                </left>
                <right style="thin">
                  <color theme="0"/>
                </right>
                <top style="thin">
                  <color theme="0"/>
                </top>
                <bottom style="thin">
                  <color theme="0"/>
                </bottom>
                <vertical/>
                <horizontal/>
              </border>
            </x14:dxf>
          </x14:cfRule>
          <xm:sqref>Q58:R58</xm:sqref>
        </x14:conditionalFormatting>
        <x14:conditionalFormatting xmlns:xm="http://schemas.microsoft.com/office/excel/2006/main">
          <x14:cfRule type="expression" priority="3112" id="{470EE464-3C4C-46E9-97C4-A37B85B17826}">
            <xm:f>$Z$8='Assessment Details'!$Q$23</xm:f>
            <x14:dxf>
              <font>
                <color theme="0"/>
              </font>
              <fill>
                <patternFill>
                  <bgColor theme="0"/>
                </patternFill>
              </fill>
            </x14:dxf>
          </x14:cfRule>
          <xm:sqref>X58:Y58</xm:sqref>
        </x14:conditionalFormatting>
        <x14:conditionalFormatting xmlns:xm="http://schemas.microsoft.com/office/excel/2006/main">
          <x14:cfRule type="expression" priority="3111" id="{CD4B009A-E5AC-4E20-A4D7-4F7AD941F9AC}">
            <xm:f>$Z$8='Assessment Details'!$Q$23</xm:f>
            <x14:dxf>
              <border>
                <left style="thin">
                  <color theme="0"/>
                </left>
                <right style="thin">
                  <color theme="0"/>
                </right>
                <top style="thin">
                  <color theme="0"/>
                </top>
                <bottom style="thin">
                  <color theme="0"/>
                </bottom>
                <vertical/>
                <horizontal/>
              </border>
            </x14:dxf>
          </x14:cfRule>
          <xm:sqref>X58:Y58</xm:sqref>
        </x14:conditionalFormatting>
        <x14:conditionalFormatting xmlns:xm="http://schemas.microsoft.com/office/excel/2006/main">
          <x14:cfRule type="expression" priority="3092" id="{975964DE-804D-495C-95B4-CA7D3DAF2E82}">
            <xm:f>$S$8='Assessment Details'!$Q$23</xm:f>
            <x14:dxf>
              <font>
                <color theme="0"/>
              </font>
              <fill>
                <patternFill>
                  <bgColor theme="0"/>
                </patternFill>
              </fill>
              <border>
                <vertical/>
                <horizontal/>
              </border>
            </x14:dxf>
          </x14:cfRule>
          <xm:sqref>Q61:R61</xm:sqref>
        </x14:conditionalFormatting>
        <x14:conditionalFormatting xmlns:xm="http://schemas.microsoft.com/office/excel/2006/main">
          <x14:cfRule type="expression" priority="3091" id="{2FD449FD-26A9-4824-9821-933499E607A2}">
            <xm:f>$S$8='Assessment Details'!$Q$23</xm:f>
            <x14:dxf>
              <border>
                <left style="thin">
                  <color theme="0"/>
                </left>
                <right style="thin">
                  <color theme="0"/>
                </right>
                <top style="thin">
                  <color theme="0"/>
                </top>
                <bottom style="thin">
                  <color theme="0"/>
                </bottom>
                <vertical/>
                <horizontal/>
              </border>
            </x14:dxf>
          </x14:cfRule>
          <xm:sqref>Q61:R61</xm:sqref>
        </x14:conditionalFormatting>
        <x14:conditionalFormatting xmlns:xm="http://schemas.microsoft.com/office/excel/2006/main">
          <x14:cfRule type="expression" priority="3090" id="{53218113-CCB3-4635-A5AC-62772AC4C7F2}">
            <xm:f>$Z$8='Assessment Details'!$Q$23</xm:f>
            <x14:dxf>
              <font>
                <color theme="0"/>
              </font>
              <fill>
                <patternFill>
                  <bgColor theme="0"/>
                </patternFill>
              </fill>
            </x14:dxf>
          </x14:cfRule>
          <xm:sqref>X61:Y61</xm:sqref>
        </x14:conditionalFormatting>
        <x14:conditionalFormatting xmlns:xm="http://schemas.microsoft.com/office/excel/2006/main">
          <x14:cfRule type="expression" priority="3089" id="{4569F90B-1D29-4385-89F3-FEF7A6FF3CEB}">
            <xm:f>$Z$8='Assessment Details'!$Q$23</xm:f>
            <x14:dxf>
              <border>
                <left style="thin">
                  <color theme="0"/>
                </left>
                <right style="thin">
                  <color theme="0"/>
                </right>
                <top style="thin">
                  <color theme="0"/>
                </top>
                <bottom style="thin">
                  <color theme="0"/>
                </bottom>
                <vertical/>
                <horizontal/>
              </border>
            </x14:dxf>
          </x14:cfRule>
          <xm:sqref>X61:Y61</xm:sqref>
        </x14:conditionalFormatting>
        <x14:conditionalFormatting xmlns:xm="http://schemas.microsoft.com/office/excel/2006/main">
          <x14:cfRule type="expression" priority="3070" id="{3FE0B8C7-AF59-4BAA-8351-A2283C16C719}">
            <xm:f>$S$8='Assessment Details'!$Q$23</xm:f>
            <x14:dxf>
              <font>
                <color theme="0"/>
              </font>
              <fill>
                <patternFill>
                  <bgColor theme="0"/>
                </patternFill>
              </fill>
              <border>
                <vertical/>
                <horizontal/>
              </border>
            </x14:dxf>
          </x14:cfRule>
          <xm:sqref>Q73:R73</xm:sqref>
        </x14:conditionalFormatting>
        <x14:conditionalFormatting xmlns:xm="http://schemas.microsoft.com/office/excel/2006/main">
          <x14:cfRule type="expression" priority="3069" id="{744A8893-9FB1-48B4-81C7-A924173E43A7}">
            <xm:f>$S$8='Assessment Details'!$Q$23</xm:f>
            <x14:dxf>
              <border>
                <left style="thin">
                  <color theme="0"/>
                </left>
                <right style="thin">
                  <color theme="0"/>
                </right>
                <top style="thin">
                  <color theme="0"/>
                </top>
                <bottom style="thin">
                  <color theme="0"/>
                </bottom>
                <vertical/>
                <horizontal/>
              </border>
            </x14:dxf>
          </x14:cfRule>
          <xm:sqref>Q73:R73</xm:sqref>
        </x14:conditionalFormatting>
        <x14:conditionalFormatting xmlns:xm="http://schemas.microsoft.com/office/excel/2006/main">
          <x14:cfRule type="expression" priority="3068" id="{3397C7F4-C330-4414-AAB9-176876412400}">
            <xm:f>$Z$8='Assessment Details'!$Q$23</xm:f>
            <x14:dxf>
              <font>
                <color theme="0"/>
              </font>
              <fill>
                <patternFill>
                  <bgColor theme="0"/>
                </patternFill>
              </fill>
            </x14:dxf>
          </x14:cfRule>
          <xm:sqref>X73:Y73</xm:sqref>
        </x14:conditionalFormatting>
        <x14:conditionalFormatting xmlns:xm="http://schemas.microsoft.com/office/excel/2006/main">
          <x14:cfRule type="expression" priority="3067" id="{B5042649-6E98-49F5-9F51-BDC5603B9163}">
            <xm:f>$Z$8='Assessment Details'!$Q$23</xm:f>
            <x14:dxf>
              <border>
                <left style="thin">
                  <color theme="0"/>
                </left>
                <right style="thin">
                  <color theme="0"/>
                </right>
                <top style="thin">
                  <color theme="0"/>
                </top>
                <bottom style="thin">
                  <color theme="0"/>
                </bottom>
                <vertical/>
                <horizontal/>
              </border>
            </x14:dxf>
          </x14:cfRule>
          <xm:sqref>X73:Y73</xm:sqref>
        </x14:conditionalFormatting>
        <x14:conditionalFormatting xmlns:xm="http://schemas.microsoft.com/office/excel/2006/main">
          <x14:cfRule type="expression" priority="3048" id="{3BDE55F1-2597-4D5D-B985-F19E1B68F8B3}">
            <xm:f>$S$8='Assessment Details'!$Q$23</xm:f>
            <x14:dxf>
              <font>
                <color theme="0"/>
              </font>
              <fill>
                <patternFill>
                  <bgColor theme="0"/>
                </patternFill>
              </fill>
              <border>
                <vertical/>
                <horizontal/>
              </border>
            </x14:dxf>
          </x14:cfRule>
          <xm:sqref>Q77:R77</xm:sqref>
        </x14:conditionalFormatting>
        <x14:conditionalFormatting xmlns:xm="http://schemas.microsoft.com/office/excel/2006/main">
          <x14:cfRule type="expression" priority="3047" id="{7DB5EF78-5E1D-4CEB-B68B-36F15715CC2C}">
            <xm:f>$S$8='Assessment Details'!$Q$23</xm:f>
            <x14:dxf>
              <border>
                <left style="thin">
                  <color theme="0"/>
                </left>
                <right style="thin">
                  <color theme="0"/>
                </right>
                <top style="thin">
                  <color theme="0"/>
                </top>
                <bottom style="thin">
                  <color theme="0"/>
                </bottom>
                <vertical/>
                <horizontal/>
              </border>
            </x14:dxf>
          </x14:cfRule>
          <xm:sqref>Q77:R77</xm:sqref>
        </x14:conditionalFormatting>
        <x14:conditionalFormatting xmlns:xm="http://schemas.microsoft.com/office/excel/2006/main">
          <x14:cfRule type="expression" priority="3046" id="{B7F673B5-6598-42A2-A4AD-C77751D77902}">
            <xm:f>$Z$8='Assessment Details'!$Q$23</xm:f>
            <x14:dxf>
              <font>
                <color theme="0"/>
              </font>
              <fill>
                <patternFill>
                  <bgColor theme="0"/>
                </patternFill>
              </fill>
            </x14:dxf>
          </x14:cfRule>
          <xm:sqref>X77:Y77</xm:sqref>
        </x14:conditionalFormatting>
        <x14:conditionalFormatting xmlns:xm="http://schemas.microsoft.com/office/excel/2006/main">
          <x14:cfRule type="expression" priority="3045" id="{0D5867F6-0EAC-4D52-8C53-73D8646CD703}">
            <xm:f>$Z$8='Assessment Details'!$Q$23</xm:f>
            <x14:dxf>
              <border>
                <left style="thin">
                  <color theme="0"/>
                </left>
                <right style="thin">
                  <color theme="0"/>
                </right>
                <top style="thin">
                  <color theme="0"/>
                </top>
                <bottom style="thin">
                  <color theme="0"/>
                </bottom>
                <vertical/>
                <horizontal/>
              </border>
            </x14:dxf>
          </x14:cfRule>
          <xm:sqref>X77:Y77</xm:sqref>
        </x14:conditionalFormatting>
        <x14:conditionalFormatting xmlns:xm="http://schemas.microsoft.com/office/excel/2006/main">
          <x14:cfRule type="expression" priority="3026" id="{27B4461D-31DA-46E2-81BE-F64C43193179}">
            <xm:f>$S$8='Assessment Details'!$Q$23</xm:f>
            <x14:dxf>
              <font>
                <color theme="0"/>
              </font>
              <fill>
                <patternFill>
                  <bgColor theme="0"/>
                </patternFill>
              </fill>
              <border>
                <vertical/>
                <horizontal/>
              </border>
            </x14:dxf>
          </x14:cfRule>
          <xm:sqref>Q80:R80</xm:sqref>
        </x14:conditionalFormatting>
        <x14:conditionalFormatting xmlns:xm="http://schemas.microsoft.com/office/excel/2006/main">
          <x14:cfRule type="expression" priority="3025" id="{C7FF73EF-F8DB-4976-826A-87D01FA4BB29}">
            <xm:f>$S$8='Assessment Details'!$Q$23</xm:f>
            <x14:dxf>
              <border>
                <left style="thin">
                  <color theme="0"/>
                </left>
                <right style="thin">
                  <color theme="0"/>
                </right>
                <top style="thin">
                  <color theme="0"/>
                </top>
                <bottom style="thin">
                  <color theme="0"/>
                </bottom>
                <vertical/>
                <horizontal/>
              </border>
            </x14:dxf>
          </x14:cfRule>
          <xm:sqref>Q80:R80</xm:sqref>
        </x14:conditionalFormatting>
        <x14:conditionalFormatting xmlns:xm="http://schemas.microsoft.com/office/excel/2006/main">
          <x14:cfRule type="expression" priority="3024" id="{B65E1349-7466-4A9B-9235-ED83157FA8A1}">
            <xm:f>$Z$8='Assessment Details'!$Q$23</xm:f>
            <x14:dxf>
              <font>
                <color theme="0"/>
              </font>
              <fill>
                <patternFill>
                  <bgColor theme="0"/>
                </patternFill>
              </fill>
            </x14:dxf>
          </x14:cfRule>
          <xm:sqref>X80:Y80</xm:sqref>
        </x14:conditionalFormatting>
        <x14:conditionalFormatting xmlns:xm="http://schemas.microsoft.com/office/excel/2006/main">
          <x14:cfRule type="expression" priority="3023" id="{C3FC58F5-9EF2-45D7-9B97-0D6C18882827}">
            <xm:f>$Z$8='Assessment Details'!$Q$23</xm:f>
            <x14:dxf>
              <border>
                <left style="thin">
                  <color theme="0"/>
                </left>
                <right style="thin">
                  <color theme="0"/>
                </right>
                <top style="thin">
                  <color theme="0"/>
                </top>
                <bottom style="thin">
                  <color theme="0"/>
                </bottom>
                <vertical/>
                <horizontal/>
              </border>
            </x14:dxf>
          </x14:cfRule>
          <xm:sqref>X80:Y80</xm:sqref>
        </x14:conditionalFormatting>
        <x14:conditionalFormatting xmlns:xm="http://schemas.microsoft.com/office/excel/2006/main">
          <x14:cfRule type="expression" priority="3004" id="{1791F121-F855-4494-9F94-201AF776DAE3}">
            <xm:f>$S$8='Assessment Details'!$Q$23</xm:f>
            <x14:dxf>
              <font>
                <color theme="0"/>
              </font>
              <fill>
                <patternFill>
                  <bgColor theme="0"/>
                </patternFill>
              </fill>
              <border>
                <vertical/>
                <horizontal/>
              </border>
            </x14:dxf>
          </x14:cfRule>
          <xm:sqref>Q83:R83</xm:sqref>
        </x14:conditionalFormatting>
        <x14:conditionalFormatting xmlns:xm="http://schemas.microsoft.com/office/excel/2006/main">
          <x14:cfRule type="expression" priority="3003" id="{B3789350-608D-4237-90EF-4E4A0C1BFF10}">
            <xm:f>$S$8='Assessment Details'!$Q$23</xm:f>
            <x14:dxf>
              <border>
                <left style="thin">
                  <color theme="0"/>
                </left>
                <right style="thin">
                  <color theme="0"/>
                </right>
                <top style="thin">
                  <color theme="0"/>
                </top>
                <bottom style="thin">
                  <color theme="0"/>
                </bottom>
                <vertical/>
                <horizontal/>
              </border>
            </x14:dxf>
          </x14:cfRule>
          <xm:sqref>Q83:R83</xm:sqref>
        </x14:conditionalFormatting>
        <x14:conditionalFormatting xmlns:xm="http://schemas.microsoft.com/office/excel/2006/main">
          <x14:cfRule type="expression" priority="3002" id="{F3181B58-DA0D-4CF9-9972-76A8DCE0A3D7}">
            <xm:f>$Z$8='Assessment Details'!$Q$23</xm:f>
            <x14:dxf>
              <font>
                <color theme="0"/>
              </font>
              <fill>
                <patternFill>
                  <bgColor theme="0"/>
                </patternFill>
              </fill>
            </x14:dxf>
          </x14:cfRule>
          <xm:sqref>X83:Y83</xm:sqref>
        </x14:conditionalFormatting>
        <x14:conditionalFormatting xmlns:xm="http://schemas.microsoft.com/office/excel/2006/main">
          <x14:cfRule type="expression" priority="3001" id="{46DB8F0B-5298-45B1-98F7-C31874355151}">
            <xm:f>$Z$8='Assessment Details'!$Q$23</xm:f>
            <x14:dxf>
              <border>
                <left style="thin">
                  <color theme="0"/>
                </left>
                <right style="thin">
                  <color theme="0"/>
                </right>
                <top style="thin">
                  <color theme="0"/>
                </top>
                <bottom style="thin">
                  <color theme="0"/>
                </bottom>
                <vertical/>
                <horizontal/>
              </border>
            </x14:dxf>
          </x14:cfRule>
          <xm:sqref>X83:Y83</xm:sqref>
        </x14:conditionalFormatting>
        <x14:conditionalFormatting xmlns:xm="http://schemas.microsoft.com/office/excel/2006/main">
          <x14:cfRule type="expression" priority="2982" id="{F952D6D0-8EF4-4150-B3DA-A068385BB65C}">
            <xm:f>$S$8='Assessment Details'!$Q$23</xm:f>
            <x14:dxf>
              <font>
                <color theme="0"/>
              </font>
              <fill>
                <patternFill>
                  <bgColor theme="0"/>
                </patternFill>
              </fill>
              <border>
                <vertical/>
                <horizontal/>
              </border>
            </x14:dxf>
          </x14:cfRule>
          <xm:sqref>Q87:R87</xm:sqref>
        </x14:conditionalFormatting>
        <x14:conditionalFormatting xmlns:xm="http://schemas.microsoft.com/office/excel/2006/main">
          <x14:cfRule type="expression" priority="2981" id="{287A3A72-DEEE-4118-9033-6C383B62C6E2}">
            <xm:f>$S$8='Assessment Details'!$Q$23</xm:f>
            <x14:dxf>
              <border>
                <left style="thin">
                  <color theme="0"/>
                </left>
                <right style="thin">
                  <color theme="0"/>
                </right>
                <top style="thin">
                  <color theme="0"/>
                </top>
                <bottom style="thin">
                  <color theme="0"/>
                </bottom>
                <vertical/>
                <horizontal/>
              </border>
            </x14:dxf>
          </x14:cfRule>
          <xm:sqref>Q87:R87</xm:sqref>
        </x14:conditionalFormatting>
        <x14:conditionalFormatting xmlns:xm="http://schemas.microsoft.com/office/excel/2006/main">
          <x14:cfRule type="expression" priority="2980" id="{DEB80DAB-C395-4829-BA97-C8638C1E32C0}">
            <xm:f>$Z$8='Assessment Details'!$Q$23</xm:f>
            <x14:dxf>
              <font>
                <color theme="0"/>
              </font>
              <fill>
                <patternFill>
                  <bgColor theme="0"/>
                </patternFill>
              </fill>
            </x14:dxf>
          </x14:cfRule>
          <xm:sqref>X87:Y87</xm:sqref>
        </x14:conditionalFormatting>
        <x14:conditionalFormatting xmlns:xm="http://schemas.microsoft.com/office/excel/2006/main">
          <x14:cfRule type="expression" priority="2979" id="{F4B7C9CF-0F1F-4DA8-A30D-E53E19BC3410}">
            <xm:f>$Z$8='Assessment Details'!$Q$23</xm:f>
            <x14:dxf>
              <border>
                <left style="thin">
                  <color theme="0"/>
                </left>
                <right style="thin">
                  <color theme="0"/>
                </right>
                <top style="thin">
                  <color theme="0"/>
                </top>
                <bottom style="thin">
                  <color theme="0"/>
                </bottom>
                <vertical/>
                <horizontal/>
              </border>
            </x14:dxf>
          </x14:cfRule>
          <xm:sqref>X87:Y87</xm:sqref>
        </x14:conditionalFormatting>
        <x14:conditionalFormatting xmlns:xm="http://schemas.microsoft.com/office/excel/2006/main">
          <x14:cfRule type="expression" priority="2960" id="{961D8DA4-5850-4767-83A9-6460C9102A92}">
            <xm:f>$S$8='Assessment Details'!$Q$23</xm:f>
            <x14:dxf>
              <font>
                <color theme="0"/>
              </font>
              <fill>
                <patternFill>
                  <bgColor theme="0"/>
                </patternFill>
              </fill>
              <border>
                <vertical/>
                <horizontal/>
              </border>
            </x14:dxf>
          </x14:cfRule>
          <xm:sqref>Q90:R90</xm:sqref>
        </x14:conditionalFormatting>
        <x14:conditionalFormatting xmlns:xm="http://schemas.microsoft.com/office/excel/2006/main">
          <x14:cfRule type="expression" priority="2959" id="{4E4153D7-585D-4229-8AF6-15FFFA5E89ED}">
            <xm:f>$S$8='Assessment Details'!$Q$23</xm:f>
            <x14:dxf>
              <border>
                <left style="thin">
                  <color theme="0"/>
                </left>
                <right style="thin">
                  <color theme="0"/>
                </right>
                <top style="thin">
                  <color theme="0"/>
                </top>
                <bottom style="thin">
                  <color theme="0"/>
                </bottom>
                <vertical/>
                <horizontal/>
              </border>
            </x14:dxf>
          </x14:cfRule>
          <xm:sqref>Q90:R90</xm:sqref>
        </x14:conditionalFormatting>
        <x14:conditionalFormatting xmlns:xm="http://schemas.microsoft.com/office/excel/2006/main">
          <x14:cfRule type="expression" priority="2958" id="{546945FE-789B-4145-91AB-89AB7F5B7887}">
            <xm:f>$Z$8='Assessment Details'!$Q$23</xm:f>
            <x14:dxf>
              <font>
                <color theme="0"/>
              </font>
              <fill>
                <patternFill>
                  <bgColor theme="0"/>
                </patternFill>
              </fill>
            </x14:dxf>
          </x14:cfRule>
          <xm:sqref>X90:Y90</xm:sqref>
        </x14:conditionalFormatting>
        <x14:conditionalFormatting xmlns:xm="http://schemas.microsoft.com/office/excel/2006/main">
          <x14:cfRule type="expression" priority="2957" id="{3C90248F-3001-4846-8D99-4366E9FD0587}">
            <xm:f>$Z$8='Assessment Details'!$Q$23</xm:f>
            <x14:dxf>
              <border>
                <left style="thin">
                  <color theme="0"/>
                </left>
                <right style="thin">
                  <color theme="0"/>
                </right>
                <top style="thin">
                  <color theme="0"/>
                </top>
                <bottom style="thin">
                  <color theme="0"/>
                </bottom>
                <vertical/>
                <horizontal/>
              </border>
            </x14:dxf>
          </x14:cfRule>
          <xm:sqref>X90:Y90</xm:sqref>
        </x14:conditionalFormatting>
        <x14:conditionalFormatting xmlns:xm="http://schemas.microsoft.com/office/excel/2006/main">
          <x14:cfRule type="expression" priority="2938" id="{D62D12F7-91F5-4C33-B2F6-02E9E34F189B}">
            <xm:f>$S$8='Assessment Details'!$Q$23</xm:f>
            <x14:dxf>
              <font>
                <color theme="0"/>
              </font>
              <fill>
                <patternFill>
                  <bgColor theme="0"/>
                </patternFill>
              </fill>
              <border>
                <vertical/>
                <horizontal/>
              </border>
            </x14:dxf>
          </x14:cfRule>
          <xm:sqref>Q98:R98</xm:sqref>
        </x14:conditionalFormatting>
        <x14:conditionalFormatting xmlns:xm="http://schemas.microsoft.com/office/excel/2006/main">
          <x14:cfRule type="expression" priority="2937" id="{B31BD4B4-2ACB-4A6B-863D-A1CF793D99E5}">
            <xm:f>$S$8='Assessment Details'!$Q$23</xm:f>
            <x14:dxf>
              <border>
                <left style="thin">
                  <color theme="0"/>
                </left>
                <right style="thin">
                  <color theme="0"/>
                </right>
                <top style="thin">
                  <color theme="0"/>
                </top>
                <bottom style="thin">
                  <color theme="0"/>
                </bottom>
                <vertical/>
                <horizontal/>
              </border>
            </x14:dxf>
          </x14:cfRule>
          <xm:sqref>Q98:R98</xm:sqref>
        </x14:conditionalFormatting>
        <x14:conditionalFormatting xmlns:xm="http://schemas.microsoft.com/office/excel/2006/main">
          <x14:cfRule type="expression" priority="2936" id="{E35249D8-77AB-42D0-82D4-DF7512C38CE8}">
            <xm:f>$Z$8='Assessment Details'!$Q$23</xm:f>
            <x14:dxf>
              <font>
                <color theme="0"/>
              </font>
              <fill>
                <patternFill>
                  <bgColor theme="0"/>
                </patternFill>
              </fill>
            </x14:dxf>
          </x14:cfRule>
          <xm:sqref>X98:Y98</xm:sqref>
        </x14:conditionalFormatting>
        <x14:conditionalFormatting xmlns:xm="http://schemas.microsoft.com/office/excel/2006/main">
          <x14:cfRule type="expression" priority="2935" id="{8EBB8AC1-F587-4556-B14B-72E07A621945}">
            <xm:f>$Z$8='Assessment Details'!$Q$23</xm:f>
            <x14:dxf>
              <border>
                <left style="thin">
                  <color theme="0"/>
                </left>
                <right style="thin">
                  <color theme="0"/>
                </right>
                <top style="thin">
                  <color theme="0"/>
                </top>
                <bottom style="thin">
                  <color theme="0"/>
                </bottom>
                <vertical/>
                <horizontal/>
              </border>
            </x14:dxf>
          </x14:cfRule>
          <xm:sqref>X98:Y98</xm:sqref>
        </x14:conditionalFormatting>
        <x14:conditionalFormatting xmlns:xm="http://schemas.microsoft.com/office/excel/2006/main">
          <x14:cfRule type="expression" priority="2916" id="{36786943-CE38-4D1B-AD09-4CA0C9B83C65}">
            <xm:f>$S$8='Assessment Details'!$Q$23</xm:f>
            <x14:dxf>
              <font>
                <color theme="0"/>
              </font>
              <fill>
                <patternFill>
                  <bgColor theme="0"/>
                </patternFill>
              </fill>
              <border>
                <vertical/>
                <horizontal/>
              </border>
            </x14:dxf>
          </x14:cfRule>
          <xm:sqref>Q107:R107</xm:sqref>
        </x14:conditionalFormatting>
        <x14:conditionalFormatting xmlns:xm="http://schemas.microsoft.com/office/excel/2006/main">
          <x14:cfRule type="expression" priority="2915" id="{AFC0D760-90E6-45F2-B9D7-328784BF02BA}">
            <xm:f>$S$8='Assessment Details'!$Q$23</xm:f>
            <x14:dxf>
              <border>
                <left style="thin">
                  <color theme="0"/>
                </left>
                <right style="thin">
                  <color theme="0"/>
                </right>
                <top style="thin">
                  <color theme="0"/>
                </top>
                <bottom style="thin">
                  <color theme="0"/>
                </bottom>
                <vertical/>
                <horizontal/>
              </border>
            </x14:dxf>
          </x14:cfRule>
          <xm:sqref>Q107:R107</xm:sqref>
        </x14:conditionalFormatting>
        <x14:conditionalFormatting xmlns:xm="http://schemas.microsoft.com/office/excel/2006/main">
          <x14:cfRule type="expression" priority="2914" id="{417D4DDA-A392-4808-B513-CC41C7E21EF1}">
            <xm:f>$Z$8='Assessment Details'!$Q$23</xm:f>
            <x14:dxf>
              <font>
                <color theme="0"/>
              </font>
              <fill>
                <patternFill>
                  <bgColor theme="0"/>
                </patternFill>
              </fill>
            </x14:dxf>
          </x14:cfRule>
          <xm:sqref>X107:Y107</xm:sqref>
        </x14:conditionalFormatting>
        <x14:conditionalFormatting xmlns:xm="http://schemas.microsoft.com/office/excel/2006/main">
          <x14:cfRule type="expression" priority="2913" id="{C42CCBBD-8473-41D6-95BB-8D5DABA8313A}">
            <xm:f>$Z$8='Assessment Details'!$Q$23</xm:f>
            <x14:dxf>
              <border>
                <left style="thin">
                  <color theme="0"/>
                </left>
                <right style="thin">
                  <color theme="0"/>
                </right>
                <top style="thin">
                  <color theme="0"/>
                </top>
                <bottom style="thin">
                  <color theme="0"/>
                </bottom>
                <vertical/>
                <horizontal/>
              </border>
            </x14:dxf>
          </x14:cfRule>
          <xm:sqref>X107:Y107</xm:sqref>
        </x14:conditionalFormatting>
        <x14:conditionalFormatting xmlns:xm="http://schemas.microsoft.com/office/excel/2006/main">
          <x14:cfRule type="expression" priority="2894" id="{5B061993-778C-4B5B-86B1-6227066F6059}">
            <xm:f>$S$8='Assessment Details'!$Q$23</xm:f>
            <x14:dxf>
              <font>
                <color theme="0"/>
              </font>
              <fill>
                <patternFill>
                  <bgColor theme="0"/>
                </patternFill>
              </fill>
              <border>
                <vertical/>
                <horizontal/>
              </border>
            </x14:dxf>
          </x14:cfRule>
          <xm:sqref>Q109:R109</xm:sqref>
        </x14:conditionalFormatting>
        <x14:conditionalFormatting xmlns:xm="http://schemas.microsoft.com/office/excel/2006/main">
          <x14:cfRule type="expression" priority="2893" id="{03AC920A-5094-4B58-B6DA-BC1BAF981E69}">
            <xm:f>$S$8='Assessment Details'!$Q$23</xm:f>
            <x14:dxf>
              <border>
                <left style="thin">
                  <color theme="0"/>
                </left>
                <right style="thin">
                  <color theme="0"/>
                </right>
                <top style="thin">
                  <color theme="0"/>
                </top>
                <bottom style="thin">
                  <color theme="0"/>
                </bottom>
                <vertical/>
                <horizontal/>
              </border>
            </x14:dxf>
          </x14:cfRule>
          <xm:sqref>Q109:R109</xm:sqref>
        </x14:conditionalFormatting>
        <x14:conditionalFormatting xmlns:xm="http://schemas.microsoft.com/office/excel/2006/main">
          <x14:cfRule type="expression" priority="2892" id="{28EFAC08-546E-46CE-832C-FB1076BB4F5D}">
            <xm:f>$Z$8='Assessment Details'!$Q$23</xm:f>
            <x14:dxf>
              <font>
                <color theme="0"/>
              </font>
              <fill>
                <patternFill>
                  <bgColor theme="0"/>
                </patternFill>
              </fill>
            </x14:dxf>
          </x14:cfRule>
          <xm:sqref>X109:Y109</xm:sqref>
        </x14:conditionalFormatting>
        <x14:conditionalFormatting xmlns:xm="http://schemas.microsoft.com/office/excel/2006/main">
          <x14:cfRule type="expression" priority="2891" id="{6921AAE6-76F9-4635-9185-D50BABC080A9}">
            <xm:f>$Z$8='Assessment Details'!$Q$23</xm:f>
            <x14:dxf>
              <border>
                <left style="thin">
                  <color theme="0"/>
                </left>
                <right style="thin">
                  <color theme="0"/>
                </right>
                <top style="thin">
                  <color theme="0"/>
                </top>
                <bottom style="thin">
                  <color theme="0"/>
                </bottom>
                <vertical/>
                <horizontal/>
              </border>
            </x14:dxf>
          </x14:cfRule>
          <xm:sqref>X109:Y109</xm:sqref>
        </x14:conditionalFormatting>
        <x14:conditionalFormatting xmlns:xm="http://schemas.microsoft.com/office/excel/2006/main">
          <x14:cfRule type="expression" priority="2872" id="{D1134714-5ACA-428C-A7C1-04B0913D0057}">
            <xm:f>$S$8='Assessment Details'!$Q$23</xm:f>
            <x14:dxf>
              <font>
                <color theme="0"/>
              </font>
              <fill>
                <patternFill>
                  <bgColor theme="0"/>
                </patternFill>
              </fill>
              <border>
                <vertical/>
                <horizontal/>
              </border>
            </x14:dxf>
          </x14:cfRule>
          <xm:sqref>Q113:R113</xm:sqref>
        </x14:conditionalFormatting>
        <x14:conditionalFormatting xmlns:xm="http://schemas.microsoft.com/office/excel/2006/main">
          <x14:cfRule type="expression" priority="2871" id="{F6F43CAC-D378-472D-8061-FC179388F2A7}">
            <xm:f>$S$8='Assessment Details'!$Q$23</xm:f>
            <x14:dxf>
              <border>
                <left style="thin">
                  <color theme="0"/>
                </left>
                <right style="thin">
                  <color theme="0"/>
                </right>
                <top style="thin">
                  <color theme="0"/>
                </top>
                <bottom style="thin">
                  <color theme="0"/>
                </bottom>
                <vertical/>
                <horizontal/>
              </border>
            </x14:dxf>
          </x14:cfRule>
          <xm:sqref>Q113:R113</xm:sqref>
        </x14:conditionalFormatting>
        <x14:conditionalFormatting xmlns:xm="http://schemas.microsoft.com/office/excel/2006/main">
          <x14:cfRule type="expression" priority="2870" id="{FDA50E11-EB75-4207-BF37-71373B3B9DC8}">
            <xm:f>$Z$8='Assessment Details'!$Q$23</xm:f>
            <x14:dxf>
              <font>
                <color theme="0"/>
              </font>
              <fill>
                <patternFill>
                  <bgColor theme="0"/>
                </patternFill>
              </fill>
            </x14:dxf>
          </x14:cfRule>
          <xm:sqref>X113:Y113</xm:sqref>
        </x14:conditionalFormatting>
        <x14:conditionalFormatting xmlns:xm="http://schemas.microsoft.com/office/excel/2006/main">
          <x14:cfRule type="expression" priority="2869" id="{A7D32BE1-2414-4DC6-9E2E-B77DE8BB00BF}">
            <xm:f>$Z$8='Assessment Details'!$Q$23</xm:f>
            <x14:dxf>
              <border>
                <left style="thin">
                  <color theme="0"/>
                </left>
                <right style="thin">
                  <color theme="0"/>
                </right>
                <top style="thin">
                  <color theme="0"/>
                </top>
                <bottom style="thin">
                  <color theme="0"/>
                </bottom>
                <vertical/>
                <horizontal/>
              </border>
            </x14:dxf>
          </x14:cfRule>
          <xm:sqref>X113:Y113</xm:sqref>
        </x14:conditionalFormatting>
        <x14:conditionalFormatting xmlns:xm="http://schemas.microsoft.com/office/excel/2006/main">
          <x14:cfRule type="expression" priority="2848" id="{F824AB40-DF9B-4943-B19D-4D606A266650}">
            <xm:f>$Z$8='Assessment Details'!$Q$23</xm:f>
            <x14:dxf>
              <font>
                <color theme="0"/>
              </font>
              <fill>
                <patternFill>
                  <bgColor theme="0"/>
                </patternFill>
              </fill>
            </x14:dxf>
          </x14:cfRule>
          <xm:sqref>X122:Y122</xm:sqref>
        </x14:conditionalFormatting>
        <x14:conditionalFormatting xmlns:xm="http://schemas.microsoft.com/office/excel/2006/main">
          <x14:cfRule type="expression" priority="2847" id="{5AE4887A-853F-4A8D-9AC2-B7EBECF7FA58}">
            <xm:f>$Z$8='Assessment Details'!$Q$23</xm:f>
            <x14:dxf>
              <border>
                <left style="thin">
                  <color theme="0"/>
                </left>
                <right style="thin">
                  <color theme="0"/>
                </right>
                <top style="thin">
                  <color theme="0"/>
                </top>
                <bottom style="thin">
                  <color theme="0"/>
                </bottom>
                <vertical/>
                <horizontal/>
              </border>
            </x14:dxf>
          </x14:cfRule>
          <xm:sqref>X122:Y122</xm:sqref>
        </x14:conditionalFormatting>
        <x14:conditionalFormatting xmlns:xm="http://schemas.microsoft.com/office/excel/2006/main">
          <x14:cfRule type="expression" priority="2828" id="{B890570A-82E1-4E0D-A346-6FDDE8DEC1D0}">
            <xm:f>$S$8='Assessment Details'!$Q$23</xm:f>
            <x14:dxf>
              <font>
                <color theme="0"/>
              </font>
              <fill>
                <patternFill>
                  <bgColor theme="0"/>
                </patternFill>
              </fill>
              <border>
                <vertical/>
                <horizontal/>
              </border>
            </x14:dxf>
          </x14:cfRule>
          <xm:sqref>Q126:R126</xm:sqref>
        </x14:conditionalFormatting>
        <x14:conditionalFormatting xmlns:xm="http://schemas.microsoft.com/office/excel/2006/main">
          <x14:cfRule type="expression" priority="2827" id="{A84F30D9-9159-4D9B-A6D6-AB0A728D0FD9}">
            <xm:f>$S$8='Assessment Details'!$Q$23</xm:f>
            <x14:dxf>
              <border>
                <left style="thin">
                  <color theme="0"/>
                </left>
                <right style="thin">
                  <color theme="0"/>
                </right>
                <top style="thin">
                  <color theme="0"/>
                </top>
                <bottom style="thin">
                  <color theme="0"/>
                </bottom>
                <vertical/>
                <horizontal/>
              </border>
            </x14:dxf>
          </x14:cfRule>
          <xm:sqref>Q126:R126</xm:sqref>
        </x14:conditionalFormatting>
        <x14:conditionalFormatting xmlns:xm="http://schemas.microsoft.com/office/excel/2006/main">
          <x14:cfRule type="expression" priority="2826" id="{B373805C-9A92-487B-90FA-EA75D65B2312}">
            <xm:f>$Z$8='Assessment Details'!$Q$23</xm:f>
            <x14:dxf>
              <font>
                <color theme="0"/>
              </font>
              <fill>
                <patternFill>
                  <bgColor theme="0"/>
                </patternFill>
              </fill>
            </x14:dxf>
          </x14:cfRule>
          <xm:sqref>X126:Y126</xm:sqref>
        </x14:conditionalFormatting>
        <x14:conditionalFormatting xmlns:xm="http://schemas.microsoft.com/office/excel/2006/main">
          <x14:cfRule type="expression" priority="2825" id="{6DC4115D-2A4E-4993-AEE3-BC74E9358AE1}">
            <xm:f>$Z$8='Assessment Details'!$Q$23</xm:f>
            <x14:dxf>
              <border>
                <left style="thin">
                  <color theme="0"/>
                </left>
                <right style="thin">
                  <color theme="0"/>
                </right>
                <top style="thin">
                  <color theme="0"/>
                </top>
                <bottom style="thin">
                  <color theme="0"/>
                </bottom>
                <vertical/>
                <horizontal/>
              </border>
            </x14:dxf>
          </x14:cfRule>
          <xm:sqref>X126:Y126</xm:sqref>
        </x14:conditionalFormatting>
        <x14:conditionalFormatting xmlns:xm="http://schemas.microsoft.com/office/excel/2006/main">
          <x14:cfRule type="expression" priority="2806" id="{5B1D4D43-C3DD-4D2B-9A6A-F6209B1558D7}">
            <xm:f>$S$8='Assessment Details'!$Q$23</xm:f>
            <x14:dxf>
              <font>
                <color theme="0"/>
              </font>
              <fill>
                <patternFill>
                  <bgColor theme="0"/>
                </patternFill>
              </fill>
              <border>
                <vertical/>
                <horizontal/>
              </border>
            </x14:dxf>
          </x14:cfRule>
          <xm:sqref>Q130:R130</xm:sqref>
        </x14:conditionalFormatting>
        <x14:conditionalFormatting xmlns:xm="http://schemas.microsoft.com/office/excel/2006/main">
          <x14:cfRule type="expression" priority="2805" id="{C36D7400-7718-4831-B0EF-1BE7F85A803C}">
            <xm:f>$S$8='Assessment Details'!$Q$23</xm:f>
            <x14:dxf>
              <border>
                <left style="thin">
                  <color theme="0"/>
                </left>
                <right style="thin">
                  <color theme="0"/>
                </right>
                <top style="thin">
                  <color theme="0"/>
                </top>
                <bottom style="thin">
                  <color theme="0"/>
                </bottom>
                <vertical/>
                <horizontal/>
              </border>
            </x14:dxf>
          </x14:cfRule>
          <xm:sqref>Q130:R130</xm:sqref>
        </x14:conditionalFormatting>
        <x14:conditionalFormatting xmlns:xm="http://schemas.microsoft.com/office/excel/2006/main">
          <x14:cfRule type="expression" priority="2804" id="{D814B427-0B43-45E3-9FE3-C6F9C171A0A8}">
            <xm:f>$Z$8='Assessment Details'!$Q$23</xm:f>
            <x14:dxf>
              <font>
                <color theme="0"/>
              </font>
              <fill>
                <patternFill>
                  <bgColor theme="0"/>
                </patternFill>
              </fill>
            </x14:dxf>
          </x14:cfRule>
          <xm:sqref>X130:Y130</xm:sqref>
        </x14:conditionalFormatting>
        <x14:conditionalFormatting xmlns:xm="http://schemas.microsoft.com/office/excel/2006/main">
          <x14:cfRule type="expression" priority="2803" id="{AD74782E-F818-4E93-9877-66CD49FD1A9D}">
            <xm:f>$Z$8='Assessment Details'!$Q$23</xm:f>
            <x14:dxf>
              <border>
                <left style="thin">
                  <color theme="0"/>
                </left>
                <right style="thin">
                  <color theme="0"/>
                </right>
                <top style="thin">
                  <color theme="0"/>
                </top>
                <bottom style="thin">
                  <color theme="0"/>
                </bottom>
                <vertical/>
                <horizontal/>
              </border>
            </x14:dxf>
          </x14:cfRule>
          <xm:sqref>X130:Y130</xm:sqref>
        </x14:conditionalFormatting>
        <x14:conditionalFormatting xmlns:xm="http://schemas.microsoft.com/office/excel/2006/main">
          <x14:cfRule type="expression" priority="2784" id="{BC298DA3-0041-4003-A615-CD4D3EEDB4B6}">
            <xm:f>$S$8='Assessment Details'!$Q$23</xm:f>
            <x14:dxf>
              <font>
                <color theme="0"/>
              </font>
              <fill>
                <patternFill>
                  <bgColor theme="0"/>
                </patternFill>
              </fill>
              <border>
                <vertical/>
                <horizontal/>
              </border>
            </x14:dxf>
          </x14:cfRule>
          <xm:sqref>Q136:R136</xm:sqref>
        </x14:conditionalFormatting>
        <x14:conditionalFormatting xmlns:xm="http://schemas.microsoft.com/office/excel/2006/main">
          <x14:cfRule type="expression" priority="2783" id="{3E63224B-5F70-4FC7-A1D0-C81E47FBAF20}">
            <xm:f>$S$8='Assessment Details'!$Q$23</xm:f>
            <x14:dxf>
              <border>
                <left style="thin">
                  <color theme="0"/>
                </left>
                <right style="thin">
                  <color theme="0"/>
                </right>
                <top style="thin">
                  <color theme="0"/>
                </top>
                <bottom style="thin">
                  <color theme="0"/>
                </bottom>
                <vertical/>
                <horizontal/>
              </border>
            </x14:dxf>
          </x14:cfRule>
          <xm:sqref>Q136:R136</xm:sqref>
        </x14:conditionalFormatting>
        <x14:conditionalFormatting xmlns:xm="http://schemas.microsoft.com/office/excel/2006/main">
          <x14:cfRule type="expression" priority="2782" id="{854B2689-4B93-4F46-880E-26136D1313FF}">
            <xm:f>$Z$8='Assessment Details'!$Q$23</xm:f>
            <x14:dxf>
              <font>
                <color theme="0"/>
              </font>
              <fill>
                <patternFill>
                  <bgColor theme="0"/>
                </patternFill>
              </fill>
            </x14:dxf>
          </x14:cfRule>
          <xm:sqref>X136:Y136</xm:sqref>
        </x14:conditionalFormatting>
        <x14:conditionalFormatting xmlns:xm="http://schemas.microsoft.com/office/excel/2006/main">
          <x14:cfRule type="expression" priority="2781" id="{FCDA394D-E604-49EE-BC6B-CBA163DD9F4F}">
            <xm:f>$Z$8='Assessment Details'!$Q$23</xm:f>
            <x14:dxf>
              <border>
                <left style="thin">
                  <color theme="0"/>
                </left>
                <right style="thin">
                  <color theme="0"/>
                </right>
                <top style="thin">
                  <color theme="0"/>
                </top>
                <bottom style="thin">
                  <color theme="0"/>
                </bottom>
                <vertical/>
                <horizontal/>
              </border>
            </x14:dxf>
          </x14:cfRule>
          <xm:sqref>X136:Y136</xm:sqref>
        </x14:conditionalFormatting>
        <x14:conditionalFormatting xmlns:xm="http://schemas.microsoft.com/office/excel/2006/main">
          <x14:cfRule type="expression" priority="2762" id="{93E5126A-40F2-49DB-A53F-8972F416241F}">
            <xm:f>$S$8='Assessment Details'!$Q$23</xm:f>
            <x14:dxf>
              <font>
                <color theme="0"/>
              </font>
              <fill>
                <patternFill>
                  <bgColor theme="0"/>
                </patternFill>
              </fill>
              <border>
                <vertical/>
                <horizontal/>
              </border>
            </x14:dxf>
          </x14:cfRule>
          <xm:sqref>Q141:R141</xm:sqref>
        </x14:conditionalFormatting>
        <x14:conditionalFormatting xmlns:xm="http://schemas.microsoft.com/office/excel/2006/main">
          <x14:cfRule type="expression" priority="2761" id="{FC11078C-CDB7-42EA-92FE-8C46E699C37D}">
            <xm:f>$S$8='Assessment Details'!$Q$23</xm:f>
            <x14:dxf>
              <border>
                <left style="thin">
                  <color theme="0"/>
                </left>
                <right style="thin">
                  <color theme="0"/>
                </right>
                <top style="thin">
                  <color theme="0"/>
                </top>
                <bottom style="thin">
                  <color theme="0"/>
                </bottom>
                <vertical/>
                <horizontal/>
              </border>
            </x14:dxf>
          </x14:cfRule>
          <xm:sqref>Q141:R141</xm:sqref>
        </x14:conditionalFormatting>
        <x14:conditionalFormatting xmlns:xm="http://schemas.microsoft.com/office/excel/2006/main">
          <x14:cfRule type="expression" priority="2760" id="{67B61D2D-2974-491A-9C65-BCD655ABDB99}">
            <xm:f>$Z$8='Assessment Details'!$Q$23</xm:f>
            <x14:dxf>
              <font>
                <color theme="0"/>
              </font>
              <fill>
                <patternFill>
                  <bgColor theme="0"/>
                </patternFill>
              </fill>
            </x14:dxf>
          </x14:cfRule>
          <xm:sqref>X141:Y141</xm:sqref>
        </x14:conditionalFormatting>
        <x14:conditionalFormatting xmlns:xm="http://schemas.microsoft.com/office/excel/2006/main">
          <x14:cfRule type="expression" priority="2759" id="{377885CD-D487-4C27-B56A-50673BAAB469}">
            <xm:f>$Z$8='Assessment Details'!$Q$23</xm:f>
            <x14:dxf>
              <border>
                <left style="thin">
                  <color theme="0"/>
                </left>
                <right style="thin">
                  <color theme="0"/>
                </right>
                <top style="thin">
                  <color theme="0"/>
                </top>
                <bottom style="thin">
                  <color theme="0"/>
                </bottom>
                <vertical/>
                <horizontal/>
              </border>
            </x14:dxf>
          </x14:cfRule>
          <xm:sqref>X141:Y141</xm:sqref>
        </x14:conditionalFormatting>
        <x14:conditionalFormatting xmlns:xm="http://schemas.microsoft.com/office/excel/2006/main">
          <x14:cfRule type="expression" priority="2740" id="{0EBD06D7-B286-47FC-BCEB-7DE0EBE21459}">
            <xm:f>$S$8='Assessment Details'!$Q$23</xm:f>
            <x14:dxf>
              <font>
                <color theme="0"/>
              </font>
              <fill>
                <patternFill>
                  <bgColor theme="0"/>
                </patternFill>
              </fill>
              <border>
                <vertical/>
                <horizontal/>
              </border>
            </x14:dxf>
          </x14:cfRule>
          <xm:sqref>Q154:R154</xm:sqref>
        </x14:conditionalFormatting>
        <x14:conditionalFormatting xmlns:xm="http://schemas.microsoft.com/office/excel/2006/main">
          <x14:cfRule type="expression" priority="2739" id="{4A947A86-3930-4E01-91A9-88AAA98761F4}">
            <xm:f>$S$8='Assessment Details'!$Q$23</xm:f>
            <x14:dxf>
              <border>
                <left style="thin">
                  <color theme="0"/>
                </left>
                <right style="thin">
                  <color theme="0"/>
                </right>
                <top style="thin">
                  <color theme="0"/>
                </top>
                <bottom style="thin">
                  <color theme="0"/>
                </bottom>
                <vertical/>
                <horizontal/>
              </border>
            </x14:dxf>
          </x14:cfRule>
          <xm:sqref>Q154:R154</xm:sqref>
        </x14:conditionalFormatting>
        <x14:conditionalFormatting xmlns:xm="http://schemas.microsoft.com/office/excel/2006/main">
          <x14:cfRule type="expression" priority="2738" id="{CE9D4D00-9F28-4C90-BFDC-AF0BB4878934}">
            <xm:f>$Z$8='Assessment Details'!$Q$23</xm:f>
            <x14:dxf>
              <font>
                <color theme="0"/>
              </font>
              <fill>
                <patternFill>
                  <bgColor theme="0"/>
                </patternFill>
              </fill>
            </x14:dxf>
          </x14:cfRule>
          <xm:sqref>X154:Y154</xm:sqref>
        </x14:conditionalFormatting>
        <x14:conditionalFormatting xmlns:xm="http://schemas.microsoft.com/office/excel/2006/main">
          <x14:cfRule type="expression" priority="2737" id="{9F7F0A66-7030-4DBA-914D-44DAE2A50D67}">
            <xm:f>$Z$8='Assessment Details'!$Q$23</xm:f>
            <x14:dxf>
              <border>
                <left style="thin">
                  <color theme="0"/>
                </left>
                <right style="thin">
                  <color theme="0"/>
                </right>
                <top style="thin">
                  <color theme="0"/>
                </top>
                <bottom style="thin">
                  <color theme="0"/>
                </bottom>
                <vertical/>
                <horizontal/>
              </border>
            </x14:dxf>
          </x14:cfRule>
          <xm:sqref>X154:Y154</xm:sqref>
        </x14:conditionalFormatting>
        <x14:conditionalFormatting xmlns:xm="http://schemas.microsoft.com/office/excel/2006/main">
          <x14:cfRule type="expression" priority="2718" id="{C699121D-3149-497E-A3AB-E5903A92AE07}">
            <xm:f>$S$8='Assessment Details'!$Q$23</xm:f>
            <x14:dxf>
              <font>
                <color theme="0"/>
              </font>
              <fill>
                <patternFill>
                  <bgColor theme="0"/>
                </patternFill>
              </fill>
              <border>
                <vertical/>
                <horizontal/>
              </border>
            </x14:dxf>
          </x14:cfRule>
          <xm:sqref>Q156:R156</xm:sqref>
        </x14:conditionalFormatting>
        <x14:conditionalFormatting xmlns:xm="http://schemas.microsoft.com/office/excel/2006/main">
          <x14:cfRule type="expression" priority="2717" id="{401463BB-30CD-45BB-8394-CDB65C151285}">
            <xm:f>$S$8='Assessment Details'!$Q$23</xm:f>
            <x14:dxf>
              <border>
                <left style="thin">
                  <color theme="0"/>
                </left>
                <right style="thin">
                  <color theme="0"/>
                </right>
                <top style="thin">
                  <color theme="0"/>
                </top>
                <bottom style="thin">
                  <color theme="0"/>
                </bottom>
                <vertical/>
                <horizontal/>
              </border>
            </x14:dxf>
          </x14:cfRule>
          <xm:sqref>Q156:R156</xm:sqref>
        </x14:conditionalFormatting>
        <x14:conditionalFormatting xmlns:xm="http://schemas.microsoft.com/office/excel/2006/main">
          <x14:cfRule type="expression" priority="2716" id="{438AA3BA-C3CF-426C-B4DE-E5D8AB3405FA}">
            <xm:f>$Z$8='Assessment Details'!$Q$23</xm:f>
            <x14:dxf>
              <font>
                <color theme="0"/>
              </font>
              <fill>
                <patternFill>
                  <bgColor theme="0"/>
                </patternFill>
              </fill>
            </x14:dxf>
          </x14:cfRule>
          <xm:sqref>X156:Y156</xm:sqref>
        </x14:conditionalFormatting>
        <x14:conditionalFormatting xmlns:xm="http://schemas.microsoft.com/office/excel/2006/main">
          <x14:cfRule type="expression" priority="2715" id="{E2AC534E-4298-4E4C-AA35-BFF073C12C54}">
            <xm:f>$Z$8='Assessment Details'!$Q$23</xm:f>
            <x14:dxf>
              <border>
                <left style="thin">
                  <color theme="0"/>
                </left>
                <right style="thin">
                  <color theme="0"/>
                </right>
                <top style="thin">
                  <color theme="0"/>
                </top>
                <bottom style="thin">
                  <color theme="0"/>
                </bottom>
                <vertical/>
                <horizontal/>
              </border>
            </x14:dxf>
          </x14:cfRule>
          <xm:sqref>X156:Y156</xm:sqref>
        </x14:conditionalFormatting>
        <x14:conditionalFormatting xmlns:xm="http://schemas.microsoft.com/office/excel/2006/main">
          <x14:cfRule type="expression" priority="2696" id="{58EA91C2-F4B4-4BCD-A5AC-E3CB8D00696E}">
            <xm:f>$S$8='Assessment Details'!$Q$23</xm:f>
            <x14:dxf>
              <font>
                <color theme="0"/>
              </font>
              <fill>
                <patternFill>
                  <bgColor theme="0"/>
                </patternFill>
              </fill>
              <border>
                <vertical/>
                <horizontal/>
              </border>
            </x14:dxf>
          </x14:cfRule>
          <xm:sqref>Q158:R158</xm:sqref>
        </x14:conditionalFormatting>
        <x14:conditionalFormatting xmlns:xm="http://schemas.microsoft.com/office/excel/2006/main">
          <x14:cfRule type="expression" priority="2695" id="{D6696C5C-DACD-4563-9702-21A1ADF72218}">
            <xm:f>$S$8='Assessment Details'!$Q$23</xm:f>
            <x14:dxf>
              <border>
                <left style="thin">
                  <color theme="0"/>
                </left>
                <right style="thin">
                  <color theme="0"/>
                </right>
                <top style="thin">
                  <color theme="0"/>
                </top>
                <bottom style="thin">
                  <color theme="0"/>
                </bottom>
                <vertical/>
                <horizontal/>
              </border>
            </x14:dxf>
          </x14:cfRule>
          <xm:sqref>Q158:R158</xm:sqref>
        </x14:conditionalFormatting>
        <x14:conditionalFormatting xmlns:xm="http://schemas.microsoft.com/office/excel/2006/main">
          <x14:cfRule type="expression" priority="2694" id="{0A624E6F-D2F5-466B-AE49-70D18C402F62}">
            <xm:f>$Z$8='Assessment Details'!$Q$23</xm:f>
            <x14:dxf>
              <font>
                <color theme="0"/>
              </font>
              <fill>
                <patternFill>
                  <bgColor theme="0"/>
                </patternFill>
              </fill>
            </x14:dxf>
          </x14:cfRule>
          <xm:sqref>X158:Y158</xm:sqref>
        </x14:conditionalFormatting>
        <x14:conditionalFormatting xmlns:xm="http://schemas.microsoft.com/office/excel/2006/main">
          <x14:cfRule type="expression" priority="2693" id="{D2605DE7-EB0B-41EE-9545-33B6F3D412FE}">
            <xm:f>$Z$8='Assessment Details'!$Q$23</xm:f>
            <x14:dxf>
              <border>
                <left style="thin">
                  <color theme="0"/>
                </left>
                <right style="thin">
                  <color theme="0"/>
                </right>
                <top style="thin">
                  <color theme="0"/>
                </top>
                <bottom style="thin">
                  <color theme="0"/>
                </bottom>
                <vertical/>
                <horizontal/>
              </border>
            </x14:dxf>
          </x14:cfRule>
          <xm:sqref>X158:Y158</xm:sqref>
        </x14:conditionalFormatting>
        <x14:conditionalFormatting xmlns:xm="http://schemas.microsoft.com/office/excel/2006/main">
          <x14:cfRule type="expression" priority="2674" id="{5085BEE2-F280-4D62-BA43-B519A5B40CF4}">
            <xm:f>$S$8='Assessment Details'!$Q$23</xm:f>
            <x14:dxf>
              <font>
                <color theme="0"/>
              </font>
              <fill>
                <patternFill>
                  <bgColor theme="0"/>
                </patternFill>
              </fill>
              <border>
                <vertical/>
                <horizontal/>
              </border>
            </x14:dxf>
          </x14:cfRule>
          <xm:sqref>Q166:R166</xm:sqref>
        </x14:conditionalFormatting>
        <x14:conditionalFormatting xmlns:xm="http://schemas.microsoft.com/office/excel/2006/main">
          <x14:cfRule type="expression" priority="2673" id="{79EB9484-1E31-4C0F-ADDB-0CFCD9441EE2}">
            <xm:f>$S$8='Assessment Details'!$Q$23</xm:f>
            <x14:dxf>
              <border>
                <left style="thin">
                  <color theme="0"/>
                </left>
                <right style="thin">
                  <color theme="0"/>
                </right>
                <top style="thin">
                  <color theme="0"/>
                </top>
                <bottom style="thin">
                  <color theme="0"/>
                </bottom>
                <vertical/>
                <horizontal/>
              </border>
            </x14:dxf>
          </x14:cfRule>
          <xm:sqref>Q166:R166</xm:sqref>
        </x14:conditionalFormatting>
        <x14:conditionalFormatting xmlns:xm="http://schemas.microsoft.com/office/excel/2006/main">
          <x14:cfRule type="expression" priority="2672" id="{5D79AE54-4DC9-4DCA-884C-42876EAB53E2}">
            <xm:f>$Z$8='Assessment Details'!$Q$23</xm:f>
            <x14:dxf>
              <font>
                <color theme="0"/>
              </font>
              <fill>
                <patternFill>
                  <bgColor theme="0"/>
                </patternFill>
              </fill>
            </x14:dxf>
          </x14:cfRule>
          <xm:sqref>X166:Y166</xm:sqref>
        </x14:conditionalFormatting>
        <x14:conditionalFormatting xmlns:xm="http://schemas.microsoft.com/office/excel/2006/main">
          <x14:cfRule type="expression" priority="2671" id="{642EF19E-4E9F-444D-BBE2-E38D5C87ADE9}">
            <xm:f>$Z$8='Assessment Details'!$Q$23</xm:f>
            <x14:dxf>
              <border>
                <left style="thin">
                  <color theme="0"/>
                </left>
                <right style="thin">
                  <color theme="0"/>
                </right>
                <top style="thin">
                  <color theme="0"/>
                </top>
                <bottom style="thin">
                  <color theme="0"/>
                </bottom>
                <vertical/>
                <horizontal/>
              </border>
            </x14:dxf>
          </x14:cfRule>
          <xm:sqref>X166:Y166</xm:sqref>
        </x14:conditionalFormatting>
        <x14:conditionalFormatting xmlns:xm="http://schemas.microsoft.com/office/excel/2006/main">
          <x14:cfRule type="expression" priority="2652" id="{DE222025-3144-4E99-8DE8-CC9624D26BAD}">
            <xm:f>$S$8='Assessment Details'!$Q$23</xm:f>
            <x14:dxf>
              <font>
                <color theme="0"/>
              </font>
              <fill>
                <patternFill>
                  <bgColor theme="0"/>
                </patternFill>
              </fill>
              <border>
                <vertical/>
                <horizontal/>
              </border>
            </x14:dxf>
          </x14:cfRule>
          <xm:sqref>Q170:R170</xm:sqref>
        </x14:conditionalFormatting>
        <x14:conditionalFormatting xmlns:xm="http://schemas.microsoft.com/office/excel/2006/main">
          <x14:cfRule type="expression" priority="2651" id="{86289F27-85BD-4061-BB4F-ADFE71F58198}">
            <xm:f>$S$8='Assessment Details'!$Q$23</xm:f>
            <x14:dxf>
              <border>
                <left style="thin">
                  <color theme="0"/>
                </left>
                <right style="thin">
                  <color theme="0"/>
                </right>
                <top style="thin">
                  <color theme="0"/>
                </top>
                <bottom style="thin">
                  <color theme="0"/>
                </bottom>
                <vertical/>
                <horizontal/>
              </border>
            </x14:dxf>
          </x14:cfRule>
          <xm:sqref>Q170:R170</xm:sqref>
        </x14:conditionalFormatting>
        <x14:conditionalFormatting xmlns:xm="http://schemas.microsoft.com/office/excel/2006/main">
          <x14:cfRule type="expression" priority="2650" id="{F6BF0F31-291D-4A06-82A1-79D9EE908212}">
            <xm:f>$Z$8='Assessment Details'!$Q$23</xm:f>
            <x14:dxf>
              <font>
                <color theme="0"/>
              </font>
              <fill>
                <patternFill>
                  <bgColor theme="0"/>
                </patternFill>
              </fill>
            </x14:dxf>
          </x14:cfRule>
          <xm:sqref>X170:Y170</xm:sqref>
        </x14:conditionalFormatting>
        <x14:conditionalFormatting xmlns:xm="http://schemas.microsoft.com/office/excel/2006/main">
          <x14:cfRule type="expression" priority="2649" id="{A92F8E34-C6A8-4C61-8472-430C9B307BDD}">
            <xm:f>$Z$8='Assessment Details'!$Q$23</xm:f>
            <x14:dxf>
              <border>
                <left style="thin">
                  <color theme="0"/>
                </left>
                <right style="thin">
                  <color theme="0"/>
                </right>
                <top style="thin">
                  <color theme="0"/>
                </top>
                <bottom style="thin">
                  <color theme="0"/>
                </bottom>
                <vertical/>
                <horizontal/>
              </border>
            </x14:dxf>
          </x14:cfRule>
          <xm:sqref>X170:Y170</xm:sqref>
        </x14:conditionalFormatting>
        <x14:conditionalFormatting xmlns:xm="http://schemas.microsoft.com/office/excel/2006/main">
          <x14:cfRule type="expression" priority="2630" id="{03F5AC57-CEE1-4E27-BDCA-705C92F9C04A}">
            <xm:f>$S$8='Assessment Details'!$Q$23</xm:f>
            <x14:dxf>
              <font>
                <color theme="0"/>
              </font>
              <fill>
                <patternFill>
                  <bgColor theme="0"/>
                </patternFill>
              </fill>
              <border>
                <vertical/>
                <horizontal/>
              </border>
            </x14:dxf>
          </x14:cfRule>
          <xm:sqref>Q173:R173</xm:sqref>
        </x14:conditionalFormatting>
        <x14:conditionalFormatting xmlns:xm="http://schemas.microsoft.com/office/excel/2006/main">
          <x14:cfRule type="expression" priority="2629" id="{24796940-0E34-4F8C-B9C3-C0BD5B9D2DE9}">
            <xm:f>$S$8='Assessment Details'!$Q$23</xm:f>
            <x14:dxf>
              <border>
                <left style="thin">
                  <color theme="0"/>
                </left>
                <right style="thin">
                  <color theme="0"/>
                </right>
                <top style="thin">
                  <color theme="0"/>
                </top>
                <bottom style="thin">
                  <color theme="0"/>
                </bottom>
                <vertical/>
                <horizontal/>
              </border>
            </x14:dxf>
          </x14:cfRule>
          <xm:sqref>Q173:R173</xm:sqref>
        </x14:conditionalFormatting>
        <x14:conditionalFormatting xmlns:xm="http://schemas.microsoft.com/office/excel/2006/main">
          <x14:cfRule type="expression" priority="2628" id="{3ACC2B89-684A-484D-B203-D284673DE8A7}">
            <xm:f>$Z$8='Assessment Details'!$Q$23</xm:f>
            <x14:dxf>
              <font>
                <color theme="0"/>
              </font>
              <fill>
                <patternFill>
                  <bgColor theme="0"/>
                </patternFill>
              </fill>
            </x14:dxf>
          </x14:cfRule>
          <xm:sqref>X173:Y173</xm:sqref>
        </x14:conditionalFormatting>
        <x14:conditionalFormatting xmlns:xm="http://schemas.microsoft.com/office/excel/2006/main">
          <x14:cfRule type="expression" priority="2627" id="{D473DCAE-7B09-4CAA-B8DC-5EF1853C823C}">
            <xm:f>$Z$8='Assessment Details'!$Q$23</xm:f>
            <x14:dxf>
              <border>
                <left style="thin">
                  <color theme="0"/>
                </left>
                <right style="thin">
                  <color theme="0"/>
                </right>
                <top style="thin">
                  <color theme="0"/>
                </top>
                <bottom style="thin">
                  <color theme="0"/>
                </bottom>
                <vertical/>
                <horizontal/>
              </border>
            </x14:dxf>
          </x14:cfRule>
          <xm:sqref>X173:Y173</xm:sqref>
        </x14:conditionalFormatting>
        <x14:conditionalFormatting xmlns:xm="http://schemas.microsoft.com/office/excel/2006/main">
          <x14:cfRule type="expression" priority="2608" id="{BB47B5EE-B404-4459-A9DC-7A8F921C40F1}">
            <xm:f>$S$8='Assessment Details'!$Q$23</xm:f>
            <x14:dxf>
              <font>
                <color theme="0"/>
              </font>
              <fill>
                <patternFill>
                  <bgColor theme="0"/>
                </patternFill>
              </fill>
              <border>
                <vertical/>
                <horizontal/>
              </border>
            </x14:dxf>
          </x14:cfRule>
          <xm:sqref>Q177:R177</xm:sqref>
        </x14:conditionalFormatting>
        <x14:conditionalFormatting xmlns:xm="http://schemas.microsoft.com/office/excel/2006/main">
          <x14:cfRule type="expression" priority="2607" id="{1AE651B5-4783-41FA-8F61-2B060157B0C2}">
            <xm:f>$S$8='Assessment Details'!$Q$23</xm:f>
            <x14:dxf>
              <border>
                <left style="thin">
                  <color theme="0"/>
                </left>
                <right style="thin">
                  <color theme="0"/>
                </right>
                <top style="thin">
                  <color theme="0"/>
                </top>
                <bottom style="thin">
                  <color theme="0"/>
                </bottom>
                <vertical/>
                <horizontal/>
              </border>
            </x14:dxf>
          </x14:cfRule>
          <xm:sqref>Q177:R177</xm:sqref>
        </x14:conditionalFormatting>
        <x14:conditionalFormatting xmlns:xm="http://schemas.microsoft.com/office/excel/2006/main">
          <x14:cfRule type="expression" priority="2606" id="{DED99014-4D9C-439F-9304-06140F0CD019}">
            <xm:f>$Z$8='Assessment Details'!$Q$23</xm:f>
            <x14:dxf>
              <font>
                <color theme="0"/>
              </font>
              <fill>
                <patternFill>
                  <bgColor theme="0"/>
                </patternFill>
              </fill>
            </x14:dxf>
          </x14:cfRule>
          <xm:sqref>X177:Y177</xm:sqref>
        </x14:conditionalFormatting>
        <x14:conditionalFormatting xmlns:xm="http://schemas.microsoft.com/office/excel/2006/main">
          <x14:cfRule type="expression" priority="2605" id="{13C7E632-2E9A-469D-944E-F005BDAA0175}">
            <xm:f>$Z$8='Assessment Details'!$Q$23</xm:f>
            <x14:dxf>
              <border>
                <left style="thin">
                  <color theme="0"/>
                </left>
                <right style="thin">
                  <color theme="0"/>
                </right>
                <top style="thin">
                  <color theme="0"/>
                </top>
                <bottom style="thin">
                  <color theme="0"/>
                </bottom>
                <vertical/>
                <horizontal/>
              </border>
            </x14:dxf>
          </x14:cfRule>
          <xm:sqref>X177:Y177</xm:sqref>
        </x14:conditionalFormatting>
        <x14:conditionalFormatting xmlns:xm="http://schemas.microsoft.com/office/excel/2006/main">
          <x14:cfRule type="expression" priority="2586" id="{FF3D70A3-E2F0-4011-AF6E-88CB2A9F4AB2}">
            <xm:f>$S$8='Assessment Details'!$Q$23</xm:f>
            <x14:dxf>
              <font>
                <color theme="0"/>
              </font>
              <fill>
                <patternFill>
                  <bgColor theme="0"/>
                </patternFill>
              </fill>
              <border>
                <vertical/>
                <horizontal/>
              </border>
            </x14:dxf>
          </x14:cfRule>
          <xm:sqref>Q181:R181</xm:sqref>
        </x14:conditionalFormatting>
        <x14:conditionalFormatting xmlns:xm="http://schemas.microsoft.com/office/excel/2006/main">
          <x14:cfRule type="expression" priority="2585" id="{0AE6CF74-4BA9-4FC0-8C0E-F1B16B0742DE}">
            <xm:f>$S$8='Assessment Details'!$Q$23</xm:f>
            <x14:dxf>
              <border>
                <left style="thin">
                  <color theme="0"/>
                </left>
                <right style="thin">
                  <color theme="0"/>
                </right>
                <top style="thin">
                  <color theme="0"/>
                </top>
                <bottom style="thin">
                  <color theme="0"/>
                </bottom>
                <vertical/>
                <horizontal/>
              </border>
            </x14:dxf>
          </x14:cfRule>
          <xm:sqref>Q181:R181</xm:sqref>
        </x14:conditionalFormatting>
        <x14:conditionalFormatting xmlns:xm="http://schemas.microsoft.com/office/excel/2006/main">
          <x14:cfRule type="expression" priority="2584" id="{3D558B44-BBCE-494B-81ED-AB3925E6A5DA}">
            <xm:f>$Z$8='Assessment Details'!$Q$23</xm:f>
            <x14:dxf>
              <font>
                <color theme="0"/>
              </font>
              <fill>
                <patternFill>
                  <bgColor theme="0"/>
                </patternFill>
              </fill>
            </x14:dxf>
          </x14:cfRule>
          <xm:sqref>X181:Y181</xm:sqref>
        </x14:conditionalFormatting>
        <x14:conditionalFormatting xmlns:xm="http://schemas.microsoft.com/office/excel/2006/main">
          <x14:cfRule type="expression" priority="2583" id="{84D843F5-91B5-42FA-A026-5431C2C7E947}">
            <xm:f>$Z$8='Assessment Details'!$Q$23</xm:f>
            <x14:dxf>
              <border>
                <left style="thin">
                  <color theme="0"/>
                </left>
                <right style="thin">
                  <color theme="0"/>
                </right>
                <top style="thin">
                  <color theme="0"/>
                </top>
                <bottom style="thin">
                  <color theme="0"/>
                </bottom>
                <vertical/>
                <horizontal/>
              </border>
            </x14:dxf>
          </x14:cfRule>
          <xm:sqref>X181:Y181</xm:sqref>
        </x14:conditionalFormatting>
        <x14:conditionalFormatting xmlns:xm="http://schemas.microsoft.com/office/excel/2006/main">
          <x14:cfRule type="expression" priority="2564" id="{A5C32B32-ED52-48B4-9A25-BD04F4A1AB84}">
            <xm:f>$S$8='Assessment Details'!$Q$23</xm:f>
            <x14:dxf>
              <font>
                <color theme="0"/>
              </font>
              <fill>
                <patternFill>
                  <bgColor theme="0"/>
                </patternFill>
              </fill>
              <border>
                <vertical/>
                <horizontal/>
              </border>
            </x14:dxf>
          </x14:cfRule>
          <xm:sqref>Q183:R183</xm:sqref>
        </x14:conditionalFormatting>
        <x14:conditionalFormatting xmlns:xm="http://schemas.microsoft.com/office/excel/2006/main">
          <x14:cfRule type="expression" priority="2563" id="{D0ABD19C-8EA4-4E11-9305-339EFFA32B58}">
            <xm:f>$S$8='Assessment Details'!$Q$23</xm:f>
            <x14:dxf>
              <border>
                <left style="thin">
                  <color theme="0"/>
                </left>
                <right style="thin">
                  <color theme="0"/>
                </right>
                <top style="thin">
                  <color theme="0"/>
                </top>
                <bottom style="thin">
                  <color theme="0"/>
                </bottom>
                <vertical/>
                <horizontal/>
              </border>
            </x14:dxf>
          </x14:cfRule>
          <xm:sqref>Q183:R183</xm:sqref>
        </x14:conditionalFormatting>
        <x14:conditionalFormatting xmlns:xm="http://schemas.microsoft.com/office/excel/2006/main">
          <x14:cfRule type="expression" priority="2562" id="{BA58B041-1F21-4BB2-8FF2-1A88031ECC97}">
            <xm:f>$Z$8='Assessment Details'!$Q$23</xm:f>
            <x14:dxf>
              <font>
                <color theme="0"/>
              </font>
              <fill>
                <patternFill>
                  <bgColor theme="0"/>
                </patternFill>
              </fill>
            </x14:dxf>
          </x14:cfRule>
          <xm:sqref>X183:Y183</xm:sqref>
        </x14:conditionalFormatting>
        <x14:conditionalFormatting xmlns:xm="http://schemas.microsoft.com/office/excel/2006/main">
          <x14:cfRule type="expression" priority="2561" id="{FFD8CAF1-C0B2-45CA-86ED-DA08BCA48491}">
            <xm:f>$Z$8='Assessment Details'!$Q$23</xm:f>
            <x14:dxf>
              <border>
                <left style="thin">
                  <color theme="0"/>
                </left>
                <right style="thin">
                  <color theme="0"/>
                </right>
                <top style="thin">
                  <color theme="0"/>
                </top>
                <bottom style="thin">
                  <color theme="0"/>
                </bottom>
                <vertical/>
                <horizontal/>
              </border>
            </x14:dxf>
          </x14:cfRule>
          <xm:sqref>X183:Y183</xm:sqref>
        </x14:conditionalFormatting>
        <x14:conditionalFormatting xmlns:xm="http://schemas.microsoft.com/office/excel/2006/main">
          <x14:cfRule type="expression" priority="2542" id="{A5CBEBC7-91C4-4779-A03E-ED4532776B98}">
            <xm:f>$S$8='Assessment Details'!$Q$23</xm:f>
            <x14:dxf>
              <font>
                <color theme="0"/>
              </font>
              <fill>
                <patternFill>
                  <bgColor theme="0"/>
                </patternFill>
              </fill>
              <border>
                <vertical/>
                <horizontal/>
              </border>
            </x14:dxf>
          </x14:cfRule>
          <xm:sqref>Q186:R186</xm:sqref>
        </x14:conditionalFormatting>
        <x14:conditionalFormatting xmlns:xm="http://schemas.microsoft.com/office/excel/2006/main">
          <x14:cfRule type="expression" priority="2541" id="{7FC9FA78-CB01-4454-ACDB-92F5DA583170}">
            <xm:f>$S$8='Assessment Details'!$Q$23</xm:f>
            <x14:dxf>
              <border>
                <left style="thin">
                  <color theme="0"/>
                </left>
                <right style="thin">
                  <color theme="0"/>
                </right>
                <top style="thin">
                  <color theme="0"/>
                </top>
                <bottom style="thin">
                  <color theme="0"/>
                </bottom>
                <vertical/>
                <horizontal/>
              </border>
            </x14:dxf>
          </x14:cfRule>
          <xm:sqref>Q186:R186</xm:sqref>
        </x14:conditionalFormatting>
        <x14:conditionalFormatting xmlns:xm="http://schemas.microsoft.com/office/excel/2006/main">
          <x14:cfRule type="expression" priority="2540" id="{82F3A0CF-3445-445E-8A01-3FAB2A216AD4}">
            <xm:f>$Z$8='Assessment Details'!$Q$23</xm:f>
            <x14:dxf>
              <font>
                <color theme="0"/>
              </font>
              <fill>
                <patternFill>
                  <bgColor theme="0"/>
                </patternFill>
              </fill>
            </x14:dxf>
          </x14:cfRule>
          <xm:sqref>X186:Y186</xm:sqref>
        </x14:conditionalFormatting>
        <x14:conditionalFormatting xmlns:xm="http://schemas.microsoft.com/office/excel/2006/main">
          <x14:cfRule type="expression" priority="2539" id="{2D0F7A81-CB6F-46F2-8FF4-B9BE8086BF64}">
            <xm:f>$Z$8='Assessment Details'!$Q$23</xm:f>
            <x14:dxf>
              <border>
                <left style="thin">
                  <color theme="0"/>
                </left>
                <right style="thin">
                  <color theme="0"/>
                </right>
                <top style="thin">
                  <color theme="0"/>
                </top>
                <bottom style="thin">
                  <color theme="0"/>
                </bottom>
                <vertical/>
                <horizontal/>
              </border>
            </x14:dxf>
          </x14:cfRule>
          <xm:sqref>X186:Y186</xm:sqref>
        </x14:conditionalFormatting>
        <x14:conditionalFormatting xmlns:xm="http://schemas.microsoft.com/office/excel/2006/main">
          <x14:cfRule type="expression" priority="2520" id="{37A99355-9BE5-4679-964D-6ED8844998FD}">
            <xm:f>$S$8='Assessment Details'!$Q$23</xm:f>
            <x14:dxf>
              <font>
                <color theme="0"/>
              </font>
              <fill>
                <patternFill>
                  <bgColor theme="0"/>
                </patternFill>
              </fill>
              <border>
                <vertical/>
                <horizontal/>
              </border>
            </x14:dxf>
          </x14:cfRule>
          <xm:sqref>Q199:R199</xm:sqref>
        </x14:conditionalFormatting>
        <x14:conditionalFormatting xmlns:xm="http://schemas.microsoft.com/office/excel/2006/main">
          <x14:cfRule type="expression" priority="2519" id="{5B05A962-0B31-42C0-A29B-4FBC9AAFC702}">
            <xm:f>$S$8='Assessment Details'!$Q$23</xm:f>
            <x14:dxf>
              <border>
                <left style="thin">
                  <color theme="0"/>
                </left>
                <right style="thin">
                  <color theme="0"/>
                </right>
                <top style="thin">
                  <color theme="0"/>
                </top>
                <bottom style="thin">
                  <color theme="0"/>
                </bottom>
                <vertical/>
                <horizontal/>
              </border>
            </x14:dxf>
          </x14:cfRule>
          <xm:sqref>Q199:R199</xm:sqref>
        </x14:conditionalFormatting>
        <x14:conditionalFormatting xmlns:xm="http://schemas.microsoft.com/office/excel/2006/main">
          <x14:cfRule type="expression" priority="2518" id="{9FC6A7DA-9094-46D8-A8FC-A8B87FCE7D2B}">
            <xm:f>$Z$8='Assessment Details'!$Q$23</xm:f>
            <x14:dxf>
              <font>
                <color theme="0"/>
              </font>
              <fill>
                <patternFill>
                  <bgColor theme="0"/>
                </patternFill>
              </fill>
            </x14:dxf>
          </x14:cfRule>
          <xm:sqref>X199:Y199</xm:sqref>
        </x14:conditionalFormatting>
        <x14:conditionalFormatting xmlns:xm="http://schemas.microsoft.com/office/excel/2006/main">
          <x14:cfRule type="expression" priority="2517" id="{8C4FD2FA-C583-4CB4-80D9-8386039D5546}">
            <xm:f>$Z$8='Assessment Details'!$Q$23</xm:f>
            <x14:dxf>
              <border>
                <left style="thin">
                  <color theme="0"/>
                </left>
                <right style="thin">
                  <color theme="0"/>
                </right>
                <top style="thin">
                  <color theme="0"/>
                </top>
                <bottom style="thin">
                  <color theme="0"/>
                </bottom>
                <vertical/>
                <horizontal/>
              </border>
            </x14:dxf>
          </x14:cfRule>
          <xm:sqref>X199:Y199</xm:sqref>
        </x14:conditionalFormatting>
        <x14:conditionalFormatting xmlns:xm="http://schemas.microsoft.com/office/excel/2006/main">
          <x14:cfRule type="expression" priority="2498" id="{D7D360FE-8CC6-4803-A70B-CAE7A8DA2370}">
            <xm:f>$S$8='Assessment Details'!$Q$23</xm:f>
            <x14:dxf>
              <font>
                <color theme="0"/>
              </font>
              <fill>
                <patternFill>
                  <bgColor theme="0"/>
                </patternFill>
              </fill>
              <border>
                <vertical/>
                <horizontal/>
              </border>
            </x14:dxf>
          </x14:cfRule>
          <xm:sqref>Q202:R202</xm:sqref>
        </x14:conditionalFormatting>
        <x14:conditionalFormatting xmlns:xm="http://schemas.microsoft.com/office/excel/2006/main">
          <x14:cfRule type="expression" priority="2497" id="{361DB25F-D381-4DF6-8113-61F256A63FFD}">
            <xm:f>$S$8='Assessment Details'!$Q$23</xm:f>
            <x14:dxf>
              <border>
                <left style="thin">
                  <color theme="0"/>
                </left>
                <right style="thin">
                  <color theme="0"/>
                </right>
                <top style="thin">
                  <color theme="0"/>
                </top>
                <bottom style="thin">
                  <color theme="0"/>
                </bottom>
                <vertical/>
                <horizontal/>
              </border>
            </x14:dxf>
          </x14:cfRule>
          <xm:sqref>Q202:R202</xm:sqref>
        </x14:conditionalFormatting>
        <x14:conditionalFormatting xmlns:xm="http://schemas.microsoft.com/office/excel/2006/main">
          <x14:cfRule type="expression" priority="2496" id="{BF477FE1-0C94-45FA-9C9F-B7BEAF49FE48}">
            <xm:f>$Z$8='Assessment Details'!$Q$23</xm:f>
            <x14:dxf>
              <font>
                <color theme="0"/>
              </font>
              <fill>
                <patternFill>
                  <bgColor theme="0"/>
                </patternFill>
              </fill>
            </x14:dxf>
          </x14:cfRule>
          <xm:sqref>X202:Y202</xm:sqref>
        </x14:conditionalFormatting>
        <x14:conditionalFormatting xmlns:xm="http://schemas.microsoft.com/office/excel/2006/main">
          <x14:cfRule type="expression" priority="2495" id="{29455680-3399-4AC2-930B-5F61D074ABBA}">
            <xm:f>$Z$8='Assessment Details'!$Q$23</xm:f>
            <x14:dxf>
              <border>
                <left style="thin">
                  <color theme="0"/>
                </left>
                <right style="thin">
                  <color theme="0"/>
                </right>
                <top style="thin">
                  <color theme="0"/>
                </top>
                <bottom style="thin">
                  <color theme="0"/>
                </bottom>
                <vertical/>
                <horizontal/>
              </border>
            </x14:dxf>
          </x14:cfRule>
          <xm:sqref>X202:Y202</xm:sqref>
        </x14:conditionalFormatting>
        <x14:conditionalFormatting xmlns:xm="http://schemas.microsoft.com/office/excel/2006/main">
          <x14:cfRule type="expression" priority="2476" id="{9BE0B12E-ED3A-4BF6-BE58-06E577076887}">
            <xm:f>$S$8='Assessment Details'!$Q$23</xm:f>
            <x14:dxf>
              <font>
                <color theme="0"/>
              </font>
              <fill>
                <patternFill>
                  <bgColor theme="0"/>
                </patternFill>
              </fill>
              <border>
                <vertical/>
                <horizontal/>
              </border>
            </x14:dxf>
          </x14:cfRule>
          <xm:sqref>Q205:R205</xm:sqref>
        </x14:conditionalFormatting>
        <x14:conditionalFormatting xmlns:xm="http://schemas.microsoft.com/office/excel/2006/main">
          <x14:cfRule type="expression" priority="2475" id="{FB75C1DC-7F57-4929-B090-7120F515DFFC}">
            <xm:f>$S$8='Assessment Details'!$Q$23</xm:f>
            <x14:dxf>
              <border>
                <left style="thin">
                  <color theme="0"/>
                </left>
                <right style="thin">
                  <color theme="0"/>
                </right>
                <top style="thin">
                  <color theme="0"/>
                </top>
                <bottom style="thin">
                  <color theme="0"/>
                </bottom>
                <vertical/>
                <horizontal/>
              </border>
            </x14:dxf>
          </x14:cfRule>
          <xm:sqref>Q205:R205</xm:sqref>
        </x14:conditionalFormatting>
        <x14:conditionalFormatting xmlns:xm="http://schemas.microsoft.com/office/excel/2006/main">
          <x14:cfRule type="expression" priority="2474" id="{F50A463C-BCEE-4AF7-9D93-BC2C3D84423D}">
            <xm:f>$Z$8='Assessment Details'!$Q$23</xm:f>
            <x14:dxf>
              <font>
                <color theme="0"/>
              </font>
              <fill>
                <patternFill>
                  <bgColor theme="0"/>
                </patternFill>
              </fill>
            </x14:dxf>
          </x14:cfRule>
          <xm:sqref>X205:Y205</xm:sqref>
        </x14:conditionalFormatting>
        <x14:conditionalFormatting xmlns:xm="http://schemas.microsoft.com/office/excel/2006/main">
          <x14:cfRule type="expression" priority="2473" id="{E36E2DF7-E9FC-496C-BC29-3B08CB152ACD}">
            <xm:f>$Z$8='Assessment Details'!$Q$23</xm:f>
            <x14:dxf>
              <border>
                <left style="thin">
                  <color theme="0"/>
                </left>
                <right style="thin">
                  <color theme="0"/>
                </right>
                <top style="thin">
                  <color theme="0"/>
                </top>
                <bottom style="thin">
                  <color theme="0"/>
                </bottom>
                <vertical/>
                <horizontal/>
              </border>
            </x14:dxf>
          </x14:cfRule>
          <xm:sqref>X205:Y205</xm:sqref>
        </x14:conditionalFormatting>
        <x14:conditionalFormatting xmlns:xm="http://schemas.microsoft.com/office/excel/2006/main">
          <x14:cfRule type="expression" priority="2453" id="{F520F275-AA21-4989-B9CF-E28CD6D94467}">
            <xm:f>$S$8='Assessment Details'!$Q$23</xm:f>
            <x14:dxf>
              <font>
                <color theme="0"/>
              </font>
              <fill>
                <patternFill>
                  <bgColor theme="0"/>
                </patternFill>
              </fill>
              <border>
                <vertical/>
                <horizontal/>
              </border>
            </x14:dxf>
          </x14:cfRule>
          <xm:sqref>N41:N45</xm:sqref>
        </x14:conditionalFormatting>
        <x14:conditionalFormatting xmlns:xm="http://schemas.microsoft.com/office/excel/2006/main">
          <x14:cfRule type="expression" priority="2452" id="{65297D8B-AB0B-4557-8CDD-F71008214F0F}">
            <xm:f>$S$8='Assessment Details'!$Q$23</xm:f>
            <x14:dxf>
              <border>
                <left style="thin">
                  <color theme="0"/>
                </left>
                <right style="thin">
                  <color theme="0"/>
                </right>
                <top style="thin">
                  <color theme="0"/>
                </top>
                <bottom style="thin">
                  <color theme="0"/>
                </bottom>
                <vertical/>
                <horizontal/>
              </border>
            </x14:dxf>
          </x14:cfRule>
          <xm:sqref>N41:N45</xm:sqref>
        </x14:conditionalFormatting>
        <x14:conditionalFormatting xmlns:xm="http://schemas.microsoft.com/office/excel/2006/main">
          <x14:cfRule type="expression" priority="2451" id="{23ED5DD3-EE5A-4EC2-BF98-B7CAB7F0ACE1}">
            <xm:f>$Z$8='Assessment Details'!$Q$23</xm:f>
            <x14:dxf>
              <font>
                <color theme="0"/>
              </font>
              <fill>
                <patternFill>
                  <bgColor theme="0"/>
                </patternFill>
              </fill>
            </x14:dxf>
          </x14:cfRule>
          <xm:sqref>X41:Y45</xm:sqref>
        </x14:conditionalFormatting>
        <x14:conditionalFormatting xmlns:xm="http://schemas.microsoft.com/office/excel/2006/main">
          <x14:cfRule type="expression" priority="2450" id="{538EEEBC-840F-45AA-BA3C-4E4C560A6E08}">
            <xm:f>$Z$8='Assessment Details'!$Q$23</xm:f>
            <x14:dxf>
              <border>
                <left style="thin">
                  <color theme="0"/>
                </left>
                <right style="thin">
                  <color theme="0"/>
                </right>
                <top style="thin">
                  <color theme="0"/>
                </top>
                <bottom style="thin">
                  <color theme="0"/>
                </bottom>
                <vertical/>
                <horizontal/>
              </border>
            </x14:dxf>
          </x14:cfRule>
          <xm:sqref>X41:Y45</xm:sqref>
        </x14:conditionalFormatting>
        <x14:conditionalFormatting xmlns:xm="http://schemas.microsoft.com/office/excel/2006/main">
          <x14:cfRule type="expression" priority="2436" id="{DC06FD4E-10F2-4831-BD36-17564073A566}">
            <xm:f>$Z$8='Assessment Details'!$Q$23</xm:f>
            <x14:dxf>
              <font>
                <color theme="0"/>
              </font>
              <fill>
                <patternFill>
                  <bgColor theme="0"/>
                </patternFill>
              </fill>
            </x14:dxf>
          </x14:cfRule>
          <xm:sqref>U41:U45</xm:sqref>
        </x14:conditionalFormatting>
        <x14:conditionalFormatting xmlns:xm="http://schemas.microsoft.com/office/excel/2006/main">
          <x14:cfRule type="expression" priority="2435" id="{0C676674-2813-4A1B-8AC3-2129F2E97D76}">
            <xm:f>$Z$8='Assessment Details'!$Q$23</xm:f>
            <x14:dxf>
              <border>
                <left style="thin">
                  <color theme="0"/>
                </left>
                <right style="thin">
                  <color theme="0"/>
                </right>
                <top style="thin">
                  <color theme="0"/>
                </top>
                <bottom style="thin">
                  <color theme="0"/>
                </bottom>
                <vertical/>
                <horizontal/>
              </border>
            </x14:dxf>
          </x14:cfRule>
          <xm:sqref>U41:U45</xm:sqref>
        </x14:conditionalFormatting>
        <x14:conditionalFormatting xmlns:xm="http://schemas.microsoft.com/office/excel/2006/main">
          <x14:cfRule type="expression" priority="2424" id="{EBA401F8-FFB6-48F9-A694-9CEBDB9352D6}">
            <xm:f>$S$8='Assessment Details'!$Q$23</xm:f>
            <x14:dxf>
              <font>
                <color theme="0"/>
              </font>
              <fill>
                <patternFill>
                  <bgColor theme="0"/>
                </patternFill>
              </fill>
              <border>
                <vertical/>
                <horizontal/>
              </border>
            </x14:dxf>
          </x14:cfRule>
          <xm:sqref>N47:N50</xm:sqref>
        </x14:conditionalFormatting>
        <x14:conditionalFormatting xmlns:xm="http://schemas.microsoft.com/office/excel/2006/main">
          <x14:cfRule type="expression" priority="2423" id="{D00DE627-09B7-4C4E-AD68-6B294F08EA63}">
            <xm:f>$S$8='Assessment Details'!$Q$23</xm:f>
            <x14:dxf>
              <border>
                <left style="thin">
                  <color theme="0"/>
                </left>
                <right style="thin">
                  <color theme="0"/>
                </right>
                <top style="thin">
                  <color theme="0"/>
                </top>
                <bottom style="thin">
                  <color theme="0"/>
                </bottom>
                <vertical/>
                <horizontal/>
              </border>
            </x14:dxf>
          </x14:cfRule>
          <xm:sqref>N47:N50</xm:sqref>
        </x14:conditionalFormatting>
        <x14:conditionalFormatting xmlns:xm="http://schemas.microsoft.com/office/excel/2006/main">
          <x14:cfRule type="expression" priority="2422" id="{211A9518-D0E4-47F3-8F21-84EE0D3E60EA}">
            <xm:f>$Z$8='Assessment Details'!$Q$23</xm:f>
            <x14:dxf>
              <font>
                <color theme="0"/>
              </font>
              <fill>
                <patternFill>
                  <bgColor theme="0"/>
                </patternFill>
              </fill>
            </x14:dxf>
          </x14:cfRule>
          <xm:sqref>X47:Y50</xm:sqref>
        </x14:conditionalFormatting>
        <x14:conditionalFormatting xmlns:xm="http://schemas.microsoft.com/office/excel/2006/main">
          <x14:cfRule type="expression" priority="2421" id="{6918EB0A-3099-4DCC-93AA-21F4F3C3ABD7}">
            <xm:f>$Z$8='Assessment Details'!$Q$23</xm:f>
            <x14:dxf>
              <border>
                <left style="thin">
                  <color theme="0"/>
                </left>
                <right style="thin">
                  <color theme="0"/>
                </right>
                <top style="thin">
                  <color theme="0"/>
                </top>
                <bottom style="thin">
                  <color theme="0"/>
                </bottom>
                <vertical/>
                <horizontal/>
              </border>
            </x14:dxf>
          </x14:cfRule>
          <xm:sqref>X47:Y50</xm:sqref>
        </x14:conditionalFormatting>
        <x14:conditionalFormatting xmlns:xm="http://schemas.microsoft.com/office/excel/2006/main">
          <x14:cfRule type="expression" priority="2407" id="{B16CC0B9-0CF9-4BC4-B50C-20280CD71DB9}">
            <xm:f>$Z$8='Assessment Details'!$Q$23</xm:f>
            <x14:dxf>
              <font>
                <color theme="0"/>
              </font>
              <fill>
                <patternFill>
                  <bgColor theme="0"/>
                </patternFill>
              </fill>
            </x14:dxf>
          </x14:cfRule>
          <xm:sqref>U47:U50</xm:sqref>
        </x14:conditionalFormatting>
        <x14:conditionalFormatting xmlns:xm="http://schemas.microsoft.com/office/excel/2006/main">
          <x14:cfRule type="expression" priority="2406" id="{D6211A4D-1F18-47FB-8C6F-B6B4E8C7276F}">
            <xm:f>$Z$8='Assessment Details'!$Q$23</xm:f>
            <x14:dxf>
              <border>
                <left style="thin">
                  <color theme="0"/>
                </left>
                <right style="thin">
                  <color theme="0"/>
                </right>
                <top style="thin">
                  <color theme="0"/>
                </top>
                <bottom style="thin">
                  <color theme="0"/>
                </bottom>
                <vertical/>
                <horizontal/>
              </border>
            </x14:dxf>
          </x14:cfRule>
          <xm:sqref>U47:U50</xm:sqref>
        </x14:conditionalFormatting>
        <x14:conditionalFormatting xmlns:xm="http://schemas.microsoft.com/office/excel/2006/main">
          <x14:cfRule type="expression" priority="2395" id="{8B61BCE3-BA8E-44F9-974F-CBAF2F4E9CCF}">
            <xm:f>$S$8='Assessment Details'!$Q$23</xm:f>
            <x14:dxf>
              <font>
                <color theme="0"/>
              </font>
              <fill>
                <patternFill>
                  <bgColor theme="0"/>
                </patternFill>
              </fill>
              <border>
                <vertical/>
                <horizontal/>
              </border>
            </x14:dxf>
          </x14:cfRule>
          <xm:sqref>N52:N54</xm:sqref>
        </x14:conditionalFormatting>
        <x14:conditionalFormatting xmlns:xm="http://schemas.microsoft.com/office/excel/2006/main">
          <x14:cfRule type="expression" priority="2394" id="{0F5C6E7F-3AB1-4804-B5B8-59509DC61890}">
            <xm:f>$S$8='Assessment Details'!$Q$23</xm:f>
            <x14:dxf>
              <border>
                <left style="thin">
                  <color theme="0"/>
                </left>
                <right style="thin">
                  <color theme="0"/>
                </right>
                <top style="thin">
                  <color theme="0"/>
                </top>
                <bottom style="thin">
                  <color theme="0"/>
                </bottom>
                <vertical/>
                <horizontal/>
              </border>
            </x14:dxf>
          </x14:cfRule>
          <xm:sqref>N52:N54</xm:sqref>
        </x14:conditionalFormatting>
        <x14:conditionalFormatting xmlns:xm="http://schemas.microsoft.com/office/excel/2006/main">
          <x14:cfRule type="expression" priority="2393" id="{8B35C785-D46D-4C2B-ABFE-E56AAFA48521}">
            <xm:f>$Z$8='Assessment Details'!$Q$23</xm:f>
            <x14:dxf>
              <font>
                <color theme="0"/>
              </font>
              <fill>
                <patternFill>
                  <bgColor theme="0"/>
                </patternFill>
              </fill>
            </x14:dxf>
          </x14:cfRule>
          <xm:sqref>X52:Y54</xm:sqref>
        </x14:conditionalFormatting>
        <x14:conditionalFormatting xmlns:xm="http://schemas.microsoft.com/office/excel/2006/main">
          <x14:cfRule type="expression" priority="2392" id="{CC6DD474-82D8-4E9E-BC65-751A09A84E39}">
            <xm:f>$Z$8='Assessment Details'!$Q$23</xm:f>
            <x14:dxf>
              <border>
                <left style="thin">
                  <color theme="0"/>
                </left>
                <right style="thin">
                  <color theme="0"/>
                </right>
                <top style="thin">
                  <color theme="0"/>
                </top>
                <bottom style="thin">
                  <color theme="0"/>
                </bottom>
                <vertical/>
                <horizontal/>
              </border>
            </x14:dxf>
          </x14:cfRule>
          <xm:sqref>X52:Y54</xm:sqref>
        </x14:conditionalFormatting>
        <x14:conditionalFormatting xmlns:xm="http://schemas.microsoft.com/office/excel/2006/main">
          <x14:cfRule type="expression" priority="2378" id="{C13CF83B-3E24-403D-ACE9-CB88E7959896}">
            <xm:f>$Z$8='Assessment Details'!$Q$23</xm:f>
            <x14:dxf>
              <font>
                <color theme="0"/>
              </font>
              <fill>
                <patternFill>
                  <bgColor theme="0"/>
                </patternFill>
              </fill>
            </x14:dxf>
          </x14:cfRule>
          <xm:sqref>U52:U54</xm:sqref>
        </x14:conditionalFormatting>
        <x14:conditionalFormatting xmlns:xm="http://schemas.microsoft.com/office/excel/2006/main">
          <x14:cfRule type="expression" priority="2377" id="{70213745-7607-4C38-B131-7AF5FAF240C3}">
            <xm:f>$Z$8='Assessment Details'!$Q$23</xm:f>
            <x14:dxf>
              <border>
                <left style="thin">
                  <color theme="0"/>
                </left>
                <right style="thin">
                  <color theme="0"/>
                </right>
                <top style="thin">
                  <color theme="0"/>
                </top>
                <bottom style="thin">
                  <color theme="0"/>
                </bottom>
                <vertical/>
                <horizontal/>
              </border>
            </x14:dxf>
          </x14:cfRule>
          <xm:sqref>U52:U54</xm:sqref>
        </x14:conditionalFormatting>
        <x14:conditionalFormatting xmlns:xm="http://schemas.microsoft.com/office/excel/2006/main">
          <x14:cfRule type="expression" priority="2366" id="{B5DB6A08-0F2F-4CF9-89FC-B055882590B1}">
            <xm:f>$S$8='Assessment Details'!$Q$23</xm:f>
            <x14:dxf>
              <font>
                <color theme="0"/>
              </font>
              <fill>
                <patternFill>
                  <bgColor theme="0"/>
                </patternFill>
              </fill>
              <border>
                <vertical/>
                <horizontal/>
              </border>
            </x14:dxf>
          </x14:cfRule>
          <xm:sqref>N57</xm:sqref>
        </x14:conditionalFormatting>
        <x14:conditionalFormatting xmlns:xm="http://schemas.microsoft.com/office/excel/2006/main">
          <x14:cfRule type="expression" priority="2365" id="{9A28F136-F590-4DC8-946D-8960E86C886D}">
            <xm:f>$S$8='Assessment Details'!$Q$23</xm:f>
            <x14:dxf>
              <border>
                <left style="thin">
                  <color theme="0"/>
                </left>
                <right style="thin">
                  <color theme="0"/>
                </right>
                <top style="thin">
                  <color theme="0"/>
                </top>
                <bottom style="thin">
                  <color theme="0"/>
                </bottom>
                <vertical/>
                <horizontal/>
              </border>
            </x14:dxf>
          </x14:cfRule>
          <xm:sqref>N57</xm:sqref>
        </x14:conditionalFormatting>
        <x14:conditionalFormatting xmlns:xm="http://schemas.microsoft.com/office/excel/2006/main">
          <x14:cfRule type="expression" priority="2364" id="{64B44649-B175-40BD-9BD2-E1C718700405}">
            <xm:f>$Z$8='Assessment Details'!$Q$23</xm:f>
            <x14:dxf>
              <font>
                <color theme="0"/>
              </font>
              <fill>
                <patternFill>
                  <bgColor theme="0"/>
                </patternFill>
              </fill>
            </x14:dxf>
          </x14:cfRule>
          <xm:sqref>X56:Y57</xm:sqref>
        </x14:conditionalFormatting>
        <x14:conditionalFormatting xmlns:xm="http://schemas.microsoft.com/office/excel/2006/main">
          <x14:cfRule type="expression" priority="2363" id="{3F4FB2A4-51EB-438B-BAF6-1061DECAB44F}">
            <xm:f>$Z$8='Assessment Details'!$Q$23</xm:f>
            <x14:dxf>
              <border>
                <left style="thin">
                  <color theme="0"/>
                </left>
                <right style="thin">
                  <color theme="0"/>
                </right>
                <top style="thin">
                  <color theme="0"/>
                </top>
                <bottom style="thin">
                  <color theme="0"/>
                </bottom>
                <vertical/>
                <horizontal/>
              </border>
            </x14:dxf>
          </x14:cfRule>
          <xm:sqref>X56:Y57</xm:sqref>
        </x14:conditionalFormatting>
        <x14:conditionalFormatting xmlns:xm="http://schemas.microsoft.com/office/excel/2006/main">
          <x14:cfRule type="expression" priority="2349" id="{CDE578B3-2556-425C-90AA-81F2B73F6BB0}">
            <xm:f>$Z$8='Assessment Details'!$Q$23</xm:f>
            <x14:dxf>
              <font>
                <color theme="0"/>
              </font>
              <fill>
                <patternFill>
                  <bgColor theme="0"/>
                </patternFill>
              </fill>
            </x14:dxf>
          </x14:cfRule>
          <xm:sqref>U57</xm:sqref>
        </x14:conditionalFormatting>
        <x14:conditionalFormatting xmlns:xm="http://schemas.microsoft.com/office/excel/2006/main">
          <x14:cfRule type="expression" priority="2348" id="{B626148C-4F2A-46AA-AA58-0463FA1A9A60}">
            <xm:f>$Z$8='Assessment Details'!$Q$23</xm:f>
            <x14:dxf>
              <border>
                <left style="thin">
                  <color theme="0"/>
                </left>
                <right style="thin">
                  <color theme="0"/>
                </right>
                <top style="thin">
                  <color theme="0"/>
                </top>
                <bottom style="thin">
                  <color theme="0"/>
                </bottom>
                <vertical/>
                <horizontal/>
              </border>
            </x14:dxf>
          </x14:cfRule>
          <xm:sqref>U57</xm:sqref>
        </x14:conditionalFormatting>
        <x14:conditionalFormatting xmlns:xm="http://schemas.microsoft.com/office/excel/2006/main">
          <x14:cfRule type="expression" priority="2337" id="{226059A5-5C88-467E-897B-4EDFB8224159}">
            <xm:f>$S$8='Assessment Details'!$Q$23</xm:f>
            <x14:dxf>
              <font>
                <color theme="0"/>
              </font>
              <fill>
                <patternFill>
                  <bgColor theme="0"/>
                </patternFill>
              </fill>
              <border>
                <vertical/>
                <horizontal/>
              </border>
            </x14:dxf>
          </x14:cfRule>
          <xm:sqref>N59:N60</xm:sqref>
        </x14:conditionalFormatting>
        <x14:conditionalFormatting xmlns:xm="http://schemas.microsoft.com/office/excel/2006/main">
          <x14:cfRule type="expression" priority="2336" id="{5CA0F889-AA6E-413C-AD94-C7EC10EAFCE5}">
            <xm:f>$S$8='Assessment Details'!$Q$23</xm:f>
            <x14:dxf>
              <border>
                <left style="thin">
                  <color theme="0"/>
                </left>
                <right style="thin">
                  <color theme="0"/>
                </right>
                <top style="thin">
                  <color theme="0"/>
                </top>
                <bottom style="thin">
                  <color theme="0"/>
                </bottom>
                <vertical/>
                <horizontal/>
              </border>
            </x14:dxf>
          </x14:cfRule>
          <xm:sqref>N59:N60</xm:sqref>
        </x14:conditionalFormatting>
        <x14:conditionalFormatting xmlns:xm="http://schemas.microsoft.com/office/excel/2006/main">
          <x14:cfRule type="expression" priority="2335" id="{8B989734-F8DF-4E16-BF6A-8BEAEADE2E3E}">
            <xm:f>$Z$8='Assessment Details'!$Q$23</xm:f>
            <x14:dxf>
              <font>
                <color theme="0"/>
              </font>
              <fill>
                <patternFill>
                  <bgColor theme="0"/>
                </patternFill>
              </fill>
            </x14:dxf>
          </x14:cfRule>
          <xm:sqref>X59:Y60</xm:sqref>
        </x14:conditionalFormatting>
        <x14:conditionalFormatting xmlns:xm="http://schemas.microsoft.com/office/excel/2006/main">
          <x14:cfRule type="expression" priority="2334" id="{BB590148-8C46-498A-874D-9FBDABE72BBD}">
            <xm:f>$Z$8='Assessment Details'!$Q$23</xm:f>
            <x14:dxf>
              <border>
                <left style="thin">
                  <color theme="0"/>
                </left>
                <right style="thin">
                  <color theme="0"/>
                </right>
                <top style="thin">
                  <color theme="0"/>
                </top>
                <bottom style="thin">
                  <color theme="0"/>
                </bottom>
                <vertical/>
                <horizontal/>
              </border>
            </x14:dxf>
          </x14:cfRule>
          <xm:sqref>X59:Y60</xm:sqref>
        </x14:conditionalFormatting>
        <x14:conditionalFormatting xmlns:xm="http://schemas.microsoft.com/office/excel/2006/main">
          <x14:cfRule type="expression" priority="2320" id="{CB71A114-E15F-4B34-82A8-A06476665063}">
            <xm:f>$Z$8='Assessment Details'!$Q$23</xm:f>
            <x14:dxf>
              <font>
                <color theme="0"/>
              </font>
              <fill>
                <patternFill>
                  <bgColor theme="0"/>
                </patternFill>
              </fill>
            </x14:dxf>
          </x14:cfRule>
          <xm:sqref>U59:U60</xm:sqref>
        </x14:conditionalFormatting>
        <x14:conditionalFormatting xmlns:xm="http://schemas.microsoft.com/office/excel/2006/main">
          <x14:cfRule type="expression" priority="2319" id="{DB3093EC-74C7-40E1-9C37-44C4FFABBAD7}">
            <xm:f>$Z$8='Assessment Details'!$Q$23</xm:f>
            <x14:dxf>
              <border>
                <left style="thin">
                  <color theme="0"/>
                </left>
                <right style="thin">
                  <color theme="0"/>
                </right>
                <top style="thin">
                  <color theme="0"/>
                </top>
                <bottom style="thin">
                  <color theme="0"/>
                </bottom>
                <vertical/>
                <horizontal/>
              </border>
            </x14:dxf>
          </x14:cfRule>
          <xm:sqref>U59:U60</xm:sqref>
        </x14:conditionalFormatting>
        <x14:conditionalFormatting xmlns:xm="http://schemas.microsoft.com/office/excel/2006/main">
          <x14:cfRule type="expression" priority="2308" id="{594E7B80-4F01-4A25-B75D-ED47E2CFAAC8}">
            <xm:f>$S$8='Assessment Details'!$Q$23</xm:f>
            <x14:dxf>
              <font>
                <color theme="0"/>
              </font>
              <fill>
                <patternFill>
                  <bgColor theme="0"/>
                </patternFill>
              </fill>
              <border>
                <vertical/>
                <horizontal/>
              </border>
            </x14:dxf>
          </x14:cfRule>
          <xm:sqref>N62</xm:sqref>
        </x14:conditionalFormatting>
        <x14:conditionalFormatting xmlns:xm="http://schemas.microsoft.com/office/excel/2006/main">
          <x14:cfRule type="expression" priority="2307" id="{B5708B9A-F16A-4B40-A4F5-F56F183612CF}">
            <xm:f>$S$8='Assessment Details'!$Q$23</xm:f>
            <x14:dxf>
              <border>
                <left style="thin">
                  <color theme="0"/>
                </left>
                <right style="thin">
                  <color theme="0"/>
                </right>
                <top style="thin">
                  <color theme="0"/>
                </top>
                <bottom style="thin">
                  <color theme="0"/>
                </bottom>
                <vertical/>
                <horizontal/>
              </border>
            </x14:dxf>
          </x14:cfRule>
          <xm:sqref>N62</xm:sqref>
        </x14:conditionalFormatting>
        <x14:conditionalFormatting xmlns:xm="http://schemas.microsoft.com/office/excel/2006/main">
          <x14:cfRule type="expression" priority="2306" id="{A4F5DEDE-ED55-4EA4-9A3D-3AE3E3BE1DDC}">
            <xm:f>$Z$8='Assessment Details'!$Q$23</xm:f>
            <x14:dxf>
              <font>
                <color theme="0"/>
              </font>
              <fill>
                <patternFill>
                  <bgColor theme="0"/>
                </patternFill>
              </fill>
            </x14:dxf>
          </x14:cfRule>
          <xm:sqref>X62:Y62</xm:sqref>
        </x14:conditionalFormatting>
        <x14:conditionalFormatting xmlns:xm="http://schemas.microsoft.com/office/excel/2006/main">
          <x14:cfRule type="expression" priority="2305" id="{69C51F84-D983-48EE-A07C-54B29FCA9113}">
            <xm:f>$Z$8='Assessment Details'!$Q$23</xm:f>
            <x14:dxf>
              <border>
                <left style="thin">
                  <color theme="0"/>
                </left>
                <right style="thin">
                  <color theme="0"/>
                </right>
                <top style="thin">
                  <color theme="0"/>
                </top>
                <bottom style="thin">
                  <color theme="0"/>
                </bottom>
                <vertical/>
                <horizontal/>
              </border>
            </x14:dxf>
          </x14:cfRule>
          <xm:sqref>X62:Y62</xm:sqref>
        </x14:conditionalFormatting>
        <x14:conditionalFormatting xmlns:xm="http://schemas.microsoft.com/office/excel/2006/main">
          <x14:cfRule type="expression" priority="2291" id="{F1A8FF8C-FE8F-4A32-93EB-787994E1183B}">
            <xm:f>$Z$8='Assessment Details'!$Q$23</xm:f>
            <x14:dxf>
              <font>
                <color theme="0"/>
              </font>
              <fill>
                <patternFill>
                  <bgColor theme="0"/>
                </patternFill>
              </fill>
            </x14:dxf>
          </x14:cfRule>
          <xm:sqref>U62</xm:sqref>
        </x14:conditionalFormatting>
        <x14:conditionalFormatting xmlns:xm="http://schemas.microsoft.com/office/excel/2006/main">
          <x14:cfRule type="expression" priority="2290" id="{1889BFD1-A62C-423B-AF97-D06672E00C4D}">
            <xm:f>$Z$8='Assessment Details'!$Q$23</xm:f>
            <x14:dxf>
              <border>
                <left style="thin">
                  <color theme="0"/>
                </left>
                <right style="thin">
                  <color theme="0"/>
                </right>
                <top style="thin">
                  <color theme="0"/>
                </top>
                <bottom style="thin">
                  <color theme="0"/>
                </bottom>
                <vertical/>
                <horizontal/>
              </border>
            </x14:dxf>
          </x14:cfRule>
          <xm:sqref>U62</xm:sqref>
        </x14:conditionalFormatting>
        <x14:conditionalFormatting xmlns:xm="http://schemas.microsoft.com/office/excel/2006/main">
          <x14:cfRule type="expression" priority="2279" id="{4C57F81C-C296-4591-8038-E0A5D9376C47}">
            <xm:f>$S$8='Assessment Details'!$Q$23</xm:f>
            <x14:dxf>
              <font>
                <color theme="0"/>
              </font>
              <fill>
                <patternFill>
                  <bgColor theme="0"/>
                </patternFill>
              </fill>
              <border>
                <vertical/>
                <horizontal/>
              </border>
            </x14:dxf>
          </x14:cfRule>
          <xm:sqref>N67:N72</xm:sqref>
        </x14:conditionalFormatting>
        <x14:conditionalFormatting xmlns:xm="http://schemas.microsoft.com/office/excel/2006/main">
          <x14:cfRule type="expression" priority="2278" id="{D64BE3C6-7FDA-468C-8A28-C862508A24D6}">
            <xm:f>$S$8='Assessment Details'!$Q$23</xm:f>
            <x14:dxf>
              <border>
                <left style="thin">
                  <color theme="0"/>
                </left>
                <right style="thin">
                  <color theme="0"/>
                </right>
                <top style="thin">
                  <color theme="0"/>
                </top>
                <bottom style="thin">
                  <color theme="0"/>
                </bottom>
                <vertical/>
                <horizontal/>
              </border>
            </x14:dxf>
          </x14:cfRule>
          <xm:sqref>N67:N72</xm:sqref>
        </x14:conditionalFormatting>
        <x14:conditionalFormatting xmlns:xm="http://schemas.microsoft.com/office/excel/2006/main">
          <x14:cfRule type="expression" priority="2277" id="{D2990D95-B237-40C7-8B29-8E431D7CCD98}">
            <xm:f>$Z$8='Assessment Details'!$Q$23</xm:f>
            <x14:dxf>
              <font>
                <color theme="0"/>
              </font>
              <fill>
                <patternFill>
                  <bgColor theme="0"/>
                </patternFill>
              </fill>
            </x14:dxf>
          </x14:cfRule>
          <xm:sqref>X67:Y72</xm:sqref>
        </x14:conditionalFormatting>
        <x14:conditionalFormatting xmlns:xm="http://schemas.microsoft.com/office/excel/2006/main">
          <x14:cfRule type="expression" priority="2276" id="{5D6521A0-E04C-4DDD-9F6E-E7074BA9A1BA}">
            <xm:f>$Z$8='Assessment Details'!$Q$23</xm:f>
            <x14:dxf>
              <border>
                <left style="thin">
                  <color theme="0"/>
                </left>
                <right style="thin">
                  <color theme="0"/>
                </right>
                <top style="thin">
                  <color theme="0"/>
                </top>
                <bottom style="thin">
                  <color theme="0"/>
                </bottom>
                <vertical/>
                <horizontal/>
              </border>
            </x14:dxf>
          </x14:cfRule>
          <xm:sqref>X67:Y72</xm:sqref>
        </x14:conditionalFormatting>
        <x14:conditionalFormatting xmlns:xm="http://schemas.microsoft.com/office/excel/2006/main">
          <x14:cfRule type="expression" priority="2262" id="{4789BFF2-D6D4-4288-B53F-B8FE41E469F3}">
            <xm:f>$Z$8='Assessment Details'!$Q$23</xm:f>
            <x14:dxf>
              <font>
                <color theme="0"/>
              </font>
              <fill>
                <patternFill>
                  <bgColor theme="0"/>
                </patternFill>
              </fill>
            </x14:dxf>
          </x14:cfRule>
          <xm:sqref>U67:U69 U71:U72</xm:sqref>
        </x14:conditionalFormatting>
        <x14:conditionalFormatting xmlns:xm="http://schemas.microsoft.com/office/excel/2006/main">
          <x14:cfRule type="expression" priority="2261" id="{24B4E335-84BD-46CE-8043-1B118D9235AD}">
            <xm:f>$Z$8='Assessment Details'!$Q$23</xm:f>
            <x14:dxf>
              <border>
                <left style="thin">
                  <color theme="0"/>
                </left>
                <right style="thin">
                  <color theme="0"/>
                </right>
                <top style="thin">
                  <color theme="0"/>
                </top>
                <bottom style="thin">
                  <color theme="0"/>
                </bottom>
                <vertical/>
                <horizontal/>
              </border>
            </x14:dxf>
          </x14:cfRule>
          <xm:sqref>U67:U69 U71:U72</xm:sqref>
        </x14:conditionalFormatting>
        <x14:conditionalFormatting xmlns:xm="http://schemas.microsoft.com/office/excel/2006/main">
          <x14:cfRule type="expression" priority="2250" id="{624BDA07-2E5A-4BB8-AB05-9D1324B44598}">
            <xm:f>$S$8='Assessment Details'!$Q$23</xm:f>
            <x14:dxf>
              <font>
                <color theme="0"/>
              </font>
              <fill>
                <patternFill>
                  <bgColor theme="0"/>
                </patternFill>
              </fill>
              <border>
                <vertical/>
                <horizontal/>
              </border>
            </x14:dxf>
          </x14:cfRule>
          <xm:sqref>N74:N76</xm:sqref>
        </x14:conditionalFormatting>
        <x14:conditionalFormatting xmlns:xm="http://schemas.microsoft.com/office/excel/2006/main">
          <x14:cfRule type="expression" priority="2249" id="{C8D83D7C-7FCA-43B9-8A56-98275D98F953}">
            <xm:f>$S$8='Assessment Details'!$Q$23</xm:f>
            <x14:dxf>
              <border>
                <left style="thin">
                  <color theme="0"/>
                </left>
                <right style="thin">
                  <color theme="0"/>
                </right>
                <top style="thin">
                  <color theme="0"/>
                </top>
                <bottom style="thin">
                  <color theme="0"/>
                </bottom>
                <vertical/>
                <horizontal/>
              </border>
            </x14:dxf>
          </x14:cfRule>
          <xm:sqref>N74:N76</xm:sqref>
        </x14:conditionalFormatting>
        <x14:conditionalFormatting xmlns:xm="http://schemas.microsoft.com/office/excel/2006/main">
          <x14:cfRule type="expression" priority="2248" id="{28293B8E-DE74-4681-8B37-3D015FF67550}">
            <xm:f>$Z$8='Assessment Details'!$Q$23</xm:f>
            <x14:dxf>
              <font>
                <color theme="0"/>
              </font>
              <fill>
                <patternFill>
                  <bgColor theme="0"/>
                </patternFill>
              </fill>
            </x14:dxf>
          </x14:cfRule>
          <xm:sqref>X74:Y76</xm:sqref>
        </x14:conditionalFormatting>
        <x14:conditionalFormatting xmlns:xm="http://schemas.microsoft.com/office/excel/2006/main">
          <x14:cfRule type="expression" priority="2247" id="{FA4E4398-1960-47C2-9636-EE189871FC34}">
            <xm:f>$Z$8='Assessment Details'!$Q$23</xm:f>
            <x14:dxf>
              <border>
                <left style="thin">
                  <color theme="0"/>
                </left>
                <right style="thin">
                  <color theme="0"/>
                </right>
                <top style="thin">
                  <color theme="0"/>
                </top>
                <bottom style="thin">
                  <color theme="0"/>
                </bottom>
                <vertical/>
                <horizontal/>
              </border>
            </x14:dxf>
          </x14:cfRule>
          <xm:sqref>X74:Y76</xm:sqref>
        </x14:conditionalFormatting>
        <x14:conditionalFormatting xmlns:xm="http://schemas.microsoft.com/office/excel/2006/main">
          <x14:cfRule type="expression" priority="2233" id="{AB0458F2-B50D-48A9-A136-B8142DE40861}">
            <xm:f>$Z$8='Assessment Details'!$Q$23</xm:f>
            <x14:dxf>
              <font>
                <color theme="0"/>
              </font>
              <fill>
                <patternFill>
                  <bgColor theme="0"/>
                </patternFill>
              </fill>
            </x14:dxf>
          </x14:cfRule>
          <xm:sqref>U74:U76</xm:sqref>
        </x14:conditionalFormatting>
        <x14:conditionalFormatting xmlns:xm="http://schemas.microsoft.com/office/excel/2006/main">
          <x14:cfRule type="expression" priority="2232" id="{04A59890-99BC-4105-8456-C1E9F7D31E91}">
            <xm:f>$Z$8='Assessment Details'!$Q$23</xm:f>
            <x14:dxf>
              <border>
                <left style="thin">
                  <color theme="0"/>
                </left>
                <right style="thin">
                  <color theme="0"/>
                </right>
                <top style="thin">
                  <color theme="0"/>
                </top>
                <bottom style="thin">
                  <color theme="0"/>
                </bottom>
                <vertical/>
                <horizontal/>
              </border>
            </x14:dxf>
          </x14:cfRule>
          <xm:sqref>U74:U76</xm:sqref>
        </x14:conditionalFormatting>
        <x14:conditionalFormatting xmlns:xm="http://schemas.microsoft.com/office/excel/2006/main">
          <x14:cfRule type="expression" priority="2221" id="{3AB8F301-5249-4A01-8980-347F6CBB67AA}">
            <xm:f>$S$8='Assessment Details'!$Q$23</xm:f>
            <x14:dxf>
              <font>
                <color theme="0"/>
              </font>
              <fill>
                <patternFill>
                  <bgColor theme="0"/>
                </patternFill>
              </fill>
              <border>
                <vertical/>
                <horizontal/>
              </border>
            </x14:dxf>
          </x14:cfRule>
          <xm:sqref>N78:N79</xm:sqref>
        </x14:conditionalFormatting>
        <x14:conditionalFormatting xmlns:xm="http://schemas.microsoft.com/office/excel/2006/main">
          <x14:cfRule type="expression" priority="2220" id="{AAF2E691-E93D-4F1C-9C1D-49345DC5D20C}">
            <xm:f>$S$8='Assessment Details'!$Q$23</xm:f>
            <x14:dxf>
              <border>
                <left style="thin">
                  <color theme="0"/>
                </left>
                <right style="thin">
                  <color theme="0"/>
                </right>
                <top style="thin">
                  <color theme="0"/>
                </top>
                <bottom style="thin">
                  <color theme="0"/>
                </bottom>
                <vertical/>
                <horizontal/>
              </border>
            </x14:dxf>
          </x14:cfRule>
          <xm:sqref>N78:N79</xm:sqref>
        </x14:conditionalFormatting>
        <x14:conditionalFormatting xmlns:xm="http://schemas.microsoft.com/office/excel/2006/main">
          <x14:cfRule type="expression" priority="2219" id="{7C89C613-2684-41DE-AA39-DB5B0E056B79}">
            <xm:f>$Z$8='Assessment Details'!$Q$23</xm:f>
            <x14:dxf>
              <font>
                <color theme="0"/>
              </font>
              <fill>
                <patternFill>
                  <bgColor theme="0"/>
                </patternFill>
              </fill>
            </x14:dxf>
          </x14:cfRule>
          <xm:sqref>X78:Y79</xm:sqref>
        </x14:conditionalFormatting>
        <x14:conditionalFormatting xmlns:xm="http://schemas.microsoft.com/office/excel/2006/main">
          <x14:cfRule type="expression" priority="2218" id="{4E547AEC-83C5-443E-A538-8262F36AD380}">
            <xm:f>$Z$8='Assessment Details'!$Q$23</xm:f>
            <x14:dxf>
              <border>
                <left style="thin">
                  <color theme="0"/>
                </left>
                <right style="thin">
                  <color theme="0"/>
                </right>
                <top style="thin">
                  <color theme="0"/>
                </top>
                <bottom style="thin">
                  <color theme="0"/>
                </bottom>
                <vertical/>
                <horizontal/>
              </border>
            </x14:dxf>
          </x14:cfRule>
          <xm:sqref>X78:Y79</xm:sqref>
        </x14:conditionalFormatting>
        <x14:conditionalFormatting xmlns:xm="http://schemas.microsoft.com/office/excel/2006/main">
          <x14:cfRule type="expression" priority="2204" id="{2E7100A6-7B8F-4808-B6A2-D3BE9816341C}">
            <xm:f>$Z$8='Assessment Details'!$Q$23</xm:f>
            <x14:dxf>
              <font>
                <color theme="0"/>
              </font>
              <fill>
                <patternFill>
                  <bgColor theme="0"/>
                </patternFill>
              </fill>
            </x14:dxf>
          </x14:cfRule>
          <xm:sqref>U78:U79</xm:sqref>
        </x14:conditionalFormatting>
        <x14:conditionalFormatting xmlns:xm="http://schemas.microsoft.com/office/excel/2006/main">
          <x14:cfRule type="expression" priority="2203" id="{FC4023BD-68ED-4558-9A2B-3D04902BEE9B}">
            <xm:f>$Z$8='Assessment Details'!$Q$23</xm:f>
            <x14:dxf>
              <border>
                <left style="thin">
                  <color theme="0"/>
                </left>
                <right style="thin">
                  <color theme="0"/>
                </right>
                <top style="thin">
                  <color theme="0"/>
                </top>
                <bottom style="thin">
                  <color theme="0"/>
                </bottom>
                <vertical/>
                <horizontal/>
              </border>
            </x14:dxf>
          </x14:cfRule>
          <xm:sqref>U78:U79</xm:sqref>
        </x14:conditionalFormatting>
        <x14:conditionalFormatting xmlns:xm="http://schemas.microsoft.com/office/excel/2006/main">
          <x14:cfRule type="expression" priority="2192" id="{8639024F-F23F-4E81-8DB4-60196403B34E}">
            <xm:f>$S$8='Assessment Details'!$Q$23</xm:f>
            <x14:dxf>
              <font>
                <color theme="0"/>
              </font>
              <fill>
                <patternFill>
                  <bgColor theme="0"/>
                </patternFill>
              </fill>
              <border>
                <vertical/>
                <horizontal/>
              </border>
            </x14:dxf>
          </x14:cfRule>
          <xm:sqref>N81:N82</xm:sqref>
        </x14:conditionalFormatting>
        <x14:conditionalFormatting xmlns:xm="http://schemas.microsoft.com/office/excel/2006/main">
          <x14:cfRule type="expression" priority="2191" id="{DFA2286E-5E2D-490A-B777-279B25DA5D7A}">
            <xm:f>$S$8='Assessment Details'!$Q$23</xm:f>
            <x14:dxf>
              <border>
                <left style="thin">
                  <color theme="0"/>
                </left>
                <right style="thin">
                  <color theme="0"/>
                </right>
                <top style="thin">
                  <color theme="0"/>
                </top>
                <bottom style="thin">
                  <color theme="0"/>
                </bottom>
                <vertical/>
                <horizontal/>
              </border>
            </x14:dxf>
          </x14:cfRule>
          <xm:sqref>N81:N82</xm:sqref>
        </x14:conditionalFormatting>
        <x14:conditionalFormatting xmlns:xm="http://schemas.microsoft.com/office/excel/2006/main">
          <x14:cfRule type="expression" priority="2190" id="{A06AD768-0E12-4632-BF09-4EF20AD923AD}">
            <xm:f>$Z$8='Assessment Details'!$Q$23</xm:f>
            <x14:dxf>
              <font>
                <color theme="0"/>
              </font>
              <fill>
                <patternFill>
                  <bgColor theme="0"/>
                </patternFill>
              </fill>
            </x14:dxf>
          </x14:cfRule>
          <xm:sqref>X81:Y82</xm:sqref>
        </x14:conditionalFormatting>
        <x14:conditionalFormatting xmlns:xm="http://schemas.microsoft.com/office/excel/2006/main">
          <x14:cfRule type="expression" priority="2189" id="{E77AFA42-6B5D-4DC0-AC7F-5C75A794FC89}">
            <xm:f>$Z$8='Assessment Details'!$Q$23</xm:f>
            <x14:dxf>
              <border>
                <left style="thin">
                  <color theme="0"/>
                </left>
                <right style="thin">
                  <color theme="0"/>
                </right>
                <top style="thin">
                  <color theme="0"/>
                </top>
                <bottom style="thin">
                  <color theme="0"/>
                </bottom>
                <vertical/>
                <horizontal/>
              </border>
            </x14:dxf>
          </x14:cfRule>
          <xm:sqref>X81:Y82</xm:sqref>
        </x14:conditionalFormatting>
        <x14:conditionalFormatting xmlns:xm="http://schemas.microsoft.com/office/excel/2006/main">
          <x14:cfRule type="expression" priority="2175" id="{6BE170C4-1FB8-4BDF-942B-64FC45CD4B36}">
            <xm:f>$Z$8='Assessment Details'!$Q$23</xm:f>
            <x14:dxf>
              <font>
                <color theme="0"/>
              </font>
              <fill>
                <patternFill>
                  <bgColor theme="0"/>
                </patternFill>
              </fill>
            </x14:dxf>
          </x14:cfRule>
          <xm:sqref>U81:U82</xm:sqref>
        </x14:conditionalFormatting>
        <x14:conditionalFormatting xmlns:xm="http://schemas.microsoft.com/office/excel/2006/main">
          <x14:cfRule type="expression" priority="2174" id="{18AE2361-A98A-42D3-96CF-E77AEE8F46B2}">
            <xm:f>$Z$8='Assessment Details'!$Q$23</xm:f>
            <x14:dxf>
              <border>
                <left style="thin">
                  <color theme="0"/>
                </left>
                <right style="thin">
                  <color theme="0"/>
                </right>
                <top style="thin">
                  <color theme="0"/>
                </top>
                <bottom style="thin">
                  <color theme="0"/>
                </bottom>
                <vertical/>
                <horizontal/>
              </border>
            </x14:dxf>
          </x14:cfRule>
          <xm:sqref>U81:U82</xm:sqref>
        </x14:conditionalFormatting>
        <x14:conditionalFormatting xmlns:xm="http://schemas.microsoft.com/office/excel/2006/main">
          <x14:cfRule type="expression" priority="2163" id="{BA419F19-B666-4964-86BA-61594272A086}">
            <xm:f>$S$8='Assessment Details'!$Q$23</xm:f>
            <x14:dxf>
              <font>
                <color theme="0"/>
              </font>
              <fill>
                <patternFill>
                  <bgColor theme="0"/>
                </patternFill>
              </fill>
              <border>
                <vertical/>
                <horizontal/>
              </border>
            </x14:dxf>
          </x14:cfRule>
          <xm:sqref>N84</xm:sqref>
        </x14:conditionalFormatting>
        <x14:conditionalFormatting xmlns:xm="http://schemas.microsoft.com/office/excel/2006/main">
          <x14:cfRule type="expression" priority="2162" id="{7C2E7C01-9625-4B7D-BB98-A2EF414C1587}">
            <xm:f>$S$8='Assessment Details'!$Q$23</xm:f>
            <x14:dxf>
              <border>
                <left style="thin">
                  <color theme="0"/>
                </left>
                <right style="thin">
                  <color theme="0"/>
                </right>
                <top style="thin">
                  <color theme="0"/>
                </top>
                <bottom style="thin">
                  <color theme="0"/>
                </bottom>
                <vertical/>
                <horizontal/>
              </border>
            </x14:dxf>
          </x14:cfRule>
          <xm:sqref>N84</xm:sqref>
        </x14:conditionalFormatting>
        <x14:conditionalFormatting xmlns:xm="http://schemas.microsoft.com/office/excel/2006/main">
          <x14:cfRule type="expression" priority="2161" id="{2599D598-DAC1-4239-AF06-22F4CEEBF02A}">
            <xm:f>$Z$8='Assessment Details'!$Q$23</xm:f>
            <x14:dxf>
              <font>
                <color theme="0"/>
              </font>
              <fill>
                <patternFill>
                  <bgColor theme="0"/>
                </patternFill>
              </fill>
            </x14:dxf>
          </x14:cfRule>
          <xm:sqref>X84:Y84</xm:sqref>
        </x14:conditionalFormatting>
        <x14:conditionalFormatting xmlns:xm="http://schemas.microsoft.com/office/excel/2006/main">
          <x14:cfRule type="expression" priority="2160" id="{17F0D2D1-E694-47EC-BCCB-99EF84D2EBEC}">
            <xm:f>$Z$8='Assessment Details'!$Q$23</xm:f>
            <x14:dxf>
              <border>
                <left style="thin">
                  <color theme="0"/>
                </left>
                <right style="thin">
                  <color theme="0"/>
                </right>
                <top style="thin">
                  <color theme="0"/>
                </top>
                <bottom style="thin">
                  <color theme="0"/>
                </bottom>
                <vertical/>
                <horizontal/>
              </border>
            </x14:dxf>
          </x14:cfRule>
          <xm:sqref>X84:Y84</xm:sqref>
        </x14:conditionalFormatting>
        <x14:conditionalFormatting xmlns:xm="http://schemas.microsoft.com/office/excel/2006/main">
          <x14:cfRule type="expression" priority="2146" id="{D4CEBB18-5A16-48E8-8394-E284801659CC}">
            <xm:f>$Z$8='Assessment Details'!$Q$23</xm:f>
            <x14:dxf>
              <font>
                <color theme="0"/>
              </font>
              <fill>
                <patternFill>
                  <bgColor theme="0"/>
                </patternFill>
              </fill>
            </x14:dxf>
          </x14:cfRule>
          <xm:sqref>U84</xm:sqref>
        </x14:conditionalFormatting>
        <x14:conditionalFormatting xmlns:xm="http://schemas.microsoft.com/office/excel/2006/main">
          <x14:cfRule type="expression" priority="2145" id="{132AA12C-8570-482C-B517-97BC4D3044BA}">
            <xm:f>$Z$8='Assessment Details'!$Q$23</xm:f>
            <x14:dxf>
              <border>
                <left style="thin">
                  <color theme="0"/>
                </left>
                <right style="thin">
                  <color theme="0"/>
                </right>
                <top style="thin">
                  <color theme="0"/>
                </top>
                <bottom style="thin">
                  <color theme="0"/>
                </bottom>
                <vertical/>
                <horizontal/>
              </border>
            </x14:dxf>
          </x14:cfRule>
          <xm:sqref>U84</xm:sqref>
        </x14:conditionalFormatting>
        <x14:conditionalFormatting xmlns:xm="http://schemas.microsoft.com/office/excel/2006/main">
          <x14:cfRule type="expression" priority="2134" id="{8C27B10B-C236-44AF-9911-EDBB50120527}">
            <xm:f>$S$8='Assessment Details'!$Q$23</xm:f>
            <x14:dxf>
              <font>
                <color theme="0"/>
              </font>
              <fill>
                <patternFill>
                  <bgColor theme="0"/>
                </patternFill>
              </fill>
              <border>
                <vertical/>
                <horizontal/>
              </border>
            </x14:dxf>
          </x14:cfRule>
          <xm:sqref>N88:N89</xm:sqref>
        </x14:conditionalFormatting>
        <x14:conditionalFormatting xmlns:xm="http://schemas.microsoft.com/office/excel/2006/main">
          <x14:cfRule type="expression" priority="2133" id="{674A6998-AEE3-4066-906F-6FD4CBB1F6BC}">
            <xm:f>$S$8='Assessment Details'!$Q$23</xm:f>
            <x14:dxf>
              <border>
                <left style="thin">
                  <color theme="0"/>
                </left>
                <right style="thin">
                  <color theme="0"/>
                </right>
                <top style="thin">
                  <color theme="0"/>
                </top>
                <bottom style="thin">
                  <color theme="0"/>
                </bottom>
                <vertical/>
                <horizontal/>
              </border>
            </x14:dxf>
          </x14:cfRule>
          <xm:sqref>N88:N89</xm:sqref>
        </x14:conditionalFormatting>
        <x14:conditionalFormatting xmlns:xm="http://schemas.microsoft.com/office/excel/2006/main">
          <x14:cfRule type="expression" priority="2132" id="{8C07C4CB-E10E-4C06-A90B-18DCA1148E08}">
            <xm:f>$Z$8='Assessment Details'!$Q$23</xm:f>
            <x14:dxf>
              <font>
                <color theme="0"/>
              </font>
              <fill>
                <patternFill>
                  <bgColor theme="0"/>
                </patternFill>
              </fill>
            </x14:dxf>
          </x14:cfRule>
          <xm:sqref>X88:Y89</xm:sqref>
        </x14:conditionalFormatting>
        <x14:conditionalFormatting xmlns:xm="http://schemas.microsoft.com/office/excel/2006/main">
          <x14:cfRule type="expression" priority="2131" id="{20700757-9EE6-4693-825B-207F2301AEF6}">
            <xm:f>$Z$8='Assessment Details'!$Q$23</xm:f>
            <x14:dxf>
              <border>
                <left style="thin">
                  <color theme="0"/>
                </left>
                <right style="thin">
                  <color theme="0"/>
                </right>
                <top style="thin">
                  <color theme="0"/>
                </top>
                <bottom style="thin">
                  <color theme="0"/>
                </bottom>
                <vertical/>
                <horizontal/>
              </border>
            </x14:dxf>
          </x14:cfRule>
          <xm:sqref>X88:Y89</xm:sqref>
        </x14:conditionalFormatting>
        <x14:conditionalFormatting xmlns:xm="http://schemas.microsoft.com/office/excel/2006/main">
          <x14:cfRule type="expression" priority="2117" id="{350E3395-ADF6-4C24-88B5-226CCCB7E2C1}">
            <xm:f>$Z$8='Assessment Details'!$Q$23</xm:f>
            <x14:dxf>
              <font>
                <color theme="0"/>
              </font>
              <fill>
                <patternFill>
                  <bgColor theme="0"/>
                </patternFill>
              </fill>
            </x14:dxf>
          </x14:cfRule>
          <xm:sqref>U88:U89</xm:sqref>
        </x14:conditionalFormatting>
        <x14:conditionalFormatting xmlns:xm="http://schemas.microsoft.com/office/excel/2006/main">
          <x14:cfRule type="expression" priority="2116" id="{282C15CE-13FA-41D8-856D-B17BEF62880E}">
            <xm:f>$Z$8='Assessment Details'!$Q$23</xm:f>
            <x14:dxf>
              <border>
                <left style="thin">
                  <color theme="0"/>
                </left>
                <right style="thin">
                  <color theme="0"/>
                </right>
                <top style="thin">
                  <color theme="0"/>
                </top>
                <bottom style="thin">
                  <color theme="0"/>
                </bottom>
                <vertical/>
                <horizontal/>
              </border>
            </x14:dxf>
          </x14:cfRule>
          <xm:sqref>U88:U89</xm:sqref>
        </x14:conditionalFormatting>
        <x14:conditionalFormatting xmlns:xm="http://schemas.microsoft.com/office/excel/2006/main">
          <x14:cfRule type="expression" priority="2105" id="{F752570C-D2FC-4EFE-83D9-62BB7B2F3170}">
            <xm:f>$S$8='Assessment Details'!$Q$23</xm:f>
            <x14:dxf>
              <font>
                <color theme="0"/>
              </font>
              <fill>
                <patternFill>
                  <bgColor theme="0"/>
                </patternFill>
              </fill>
              <border>
                <vertical/>
                <horizontal/>
              </border>
            </x14:dxf>
          </x14:cfRule>
          <xm:sqref>N91</xm:sqref>
        </x14:conditionalFormatting>
        <x14:conditionalFormatting xmlns:xm="http://schemas.microsoft.com/office/excel/2006/main">
          <x14:cfRule type="expression" priority="2104" id="{AD315150-4F01-4163-BD4B-6271BC05F848}">
            <xm:f>$S$8='Assessment Details'!$Q$23</xm:f>
            <x14:dxf>
              <border>
                <left style="thin">
                  <color theme="0"/>
                </left>
                <right style="thin">
                  <color theme="0"/>
                </right>
                <top style="thin">
                  <color theme="0"/>
                </top>
                <bottom style="thin">
                  <color theme="0"/>
                </bottom>
                <vertical/>
                <horizontal/>
              </border>
            </x14:dxf>
          </x14:cfRule>
          <xm:sqref>N91</xm:sqref>
        </x14:conditionalFormatting>
        <x14:conditionalFormatting xmlns:xm="http://schemas.microsoft.com/office/excel/2006/main">
          <x14:cfRule type="expression" priority="2103" id="{5664C6BB-F929-4B99-B383-9CE7C18DE75F}">
            <xm:f>$Z$8='Assessment Details'!$Q$23</xm:f>
            <x14:dxf>
              <font>
                <color theme="0"/>
              </font>
              <fill>
                <patternFill>
                  <bgColor theme="0"/>
                </patternFill>
              </fill>
            </x14:dxf>
          </x14:cfRule>
          <xm:sqref>X91:Y91</xm:sqref>
        </x14:conditionalFormatting>
        <x14:conditionalFormatting xmlns:xm="http://schemas.microsoft.com/office/excel/2006/main">
          <x14:cfRule type="expression" priority="2102" id="{0BBFF4CF-301E-4067-8F7A-27696B035A2D}">
            <xm:f>$Z$8='Assessment Details'!$Q$23</xm:f>
            <x14:dxf>
              <border>
                <left style="thin">
                  <color theme="0"/>
                </left>
                <right style="thin">
                  <color theme="0"/>
                </right>
                <top style="thin">
                  <color theme="0"/>
                </top>
                <bottom style="thin">
                  <color theme="0"/>
                </bottom>
                <vertical/>
                <horizontal/>
              </border>
            </x14:dxf>
          </x14:cfRule>
          <xm:sqref>X91:Y91</xm:sqref>
        </x14:conditionalFormatting>
        <x14:conditionalFormatting xmlns:xm="http://schemas.microsoft.com/office/excel/2006/main">
          <x14:cfRule type="expression" priority="2088" id="{7723BC43-6FB0-46EE-9682-4EA6458B7550}">
            <xm:f>$Z$8='Assessment Details'!$Q$23</xm:f>
            <x14:dxf>
              <font>
                <color theme="0"/>
              </font>
              <fill>
                <patternFill>
                  <bgColor theme="0"/>
                </patternFill>
              </fill>
            </x14:dxf>
          </x14:cfRule>
          <xm:sqref>U91</xm:sqref>
        </x14:conditionalFormatting>
        <x14:conditionalFormatting xmlns:xm="http://schemas.microsoft.com/office/excel/2006/main">
          <x14:cfRule type="expression" priority="2087" id="{AA88D484-8C09-4A5A-B459-54F1A7625209}">
            <xm:f>$Z$8='Assessment Details'!$Q$23</xm:f>
            <x14:dxf>
              <border>
                <left style="thin">
                  <color theme="0"/>
                </left>
                <right style="thin">
                  <color theme="0"/>
                </right>
                <top style="thin">
                  <color theme="0"/>
                </top>
                <bottom style="thin">
                  <color theme="0"/>
                </bottom>
                <vertical/>
                <horizontal/>
              </border>
            </x14:dxf>
          </x14:cfRule>
          <xm:sqref>U91</xm:sqref>
        </x14:conditionalFormatting>
        <x14:conditionalFormatting xmlns:xm="http://schemas.microsoft.com/office/excel/2006/main">
          <x14:cfRule type="expression" priority="2076" id="{C07C2A46-91E7-4772-8CA9-25391F1186D4}">
            <xm:f>$S$8='Assessment Details'!$Q$23</xm:f>
            <x14:dxf>
              <font>
                <color theme="0"/>
              </font>
              <fill>
                <patternFill>
                  <bgColor theme="0"/>
                </patternFill>
              </fill>
              <border>
                <vertical/>
                <horizontal/>
              </border>
            </x14:dxf>
          </x14:cfRule>
          <xm:sqref>N96:N97</xm:sqref>
        </x14:conditionalFormatting>
        <x14:conditionalFormatting xmlns:xm="http://schemas.microsoft.com/office/excel/2006/main">
          <x14:cfRule type="expression" priority="2075" id="{577E7415-B426-4761-969E-525C3026E8FA}">
            <xm:f>$S$8='Assessment Details'!$Q$23</xm:f>
            <x14:dxf>
              <border>
                <left style="thin">
                  <color theme="0"/>
                </left>
                <right style="thin">
                  <color theme="0"/>
                </right>
                <top style="thin">
                  <color theme="0"/>
                </top>
                <bottom style="thin">
                  <color theme="0"/>
                </bottom>
                <vertical/>
                <horizontal/>
              </border>
            </x14:dxf>
          </x14:cfRule>
          <xm:sqref>N96:N97</xm:sqref>
        </x14:conditionalFormatting>
        <x14:conditionalFormatting xmlns:xm="http://schemas.microsoft.com/office/excel/2006/main">
          <x14:cfRule type="expression" priority="2074" id="{0F38F094-9045-4951-98A8-D95A67FBEFE2}">
            <xm:f>$Z$8='Assessment Details'!$Q$23</xm:f>
            <x14:dxf>
              <font>
                <color theme="0"/>
              </font>
              <fill>
                <patternFill>
                  <bgColor theme="0"/>
                </patternFill>
              </fill>
            </x14:dxf>
          </x14:cfRule>
          <xm:sqref>X96:Y97</xm:sqref>
        </x14:conditionalFormatting>
        <x14:conditionalFormatting xmlns:xm="http://schemas.microsoft.com/office/excel/2006/main">
          <x14:cfRule type="expression" priority="2073" id="{3FA31538-631E-45F9-85FD-CFBABEAACC6A}">
            <xm:f>$Z$8='Assessment Details'!$Q$23</xm:f>
            <x14:dxf>
              <border>
                <left style="thin">
                  <color theme="0"/>
                </left>
                <right style="thin">
                  <color theme="0"/>
                </right>
                <top style="thin">
                  <color theme="0"/>
                </top>
                <bottom style="thin">
                  <color theme="0"/>
                </bottom>
                <vertical/>
                <horizontal/>
              </border>
            </x14:dxf>
          </x14:cfRule>
          <xm:sqref>X96:Y97</xm:sqref>
        </x14:conditionalFormatting>
        <x14:conditionalFormatting xmlns:xm="http://schemas.microsoft.com/office/excel/2006/main">
          <x14:cfRule type="expression" priority="2059" id="{7AB54FE5-B9DA-4EA7-A9E5-953C8B3C0473}">
            <xm:f>$Z$8='Assessment Details'!$Q$23</xm:f>
            <x14:dxf>
              <font>
                <color theme="0"/>
              </font>
              <fill>
                <patternFill>
                  <bgColor theme="0"/>
                </patternFill>
              </fill>
            </x14:dxf>
          </x14:cfRule>
          <xm:sqref>U96:U97</xm:sqref>
        </x14:conditionalFormatting>
        <x14:conditionalFormatting xmlns:xm="http://schemas.microsoft.com/office/excel/2006/main">
          <x14:cfRule type="expression" priority="2058" id="{1A327D6A-84EE-4B73-BBC3-DA9F1F71661F}">
            <xm:f>$Z$8='Assessment Details'!$Q$23</xm:f>
            <x14:dxf>
              <border>
                <left style="thin">
                  <color theme="0"/>
                </left>
                <right style="thin">
                  <color theme="0"/>
                </right>
                <top style="thin">
                  <color theme="0"/>
                </top>
                <bottom style="thin">
                  <color theme="0"/>
                </bottom>
                <vertical/>
                <horizontal/>
              </border>
            </x14:dxf>
          </x14:cfRule>
          <xm:sqref>U96:U97</xm:sqref>
        </x14:conditionalFormatting>
        <x14:conditionalFormatting xmlns:xm="http://schemas.microsoft.com/office/excel/2006/main">
          <x14:cfRule type="expression" priority="2047" id="{C3940A50-D42F-4EE2-9290-3CFB7F8B7535}">
            <xm:f>$S$8='Assessment Details'!$Q$23</xm:f>
            <x14:dxf>
              <font>
                <color theme="0"/>
              </font>
              <fill>
                <patternFill>
                  <bgColor theme="0"/>
                </patternFill>
              </fill>
              <border>
                <vertical/>
                <horizontal/>
              </border>
            </x14:dxf>
          </x14:cfRule>
          <xm:sqref>N100</xm:sqref>
        </x14:conditionalFormatting>
        <x14:conditionalFormatting xmlns:xm="http://schemas.microsoft.com/office/excel/2006/main">
          <x14:cfRule type="expression" priority="2046" id="{043B8E32-32E3-4AF6-AF54-5D4F904BBCBE}">
            <xm:f>$S$8='Assessment Details'!$Q$23</xm:f>
            <x14:dxf>
              <border>
                <left style="thin">
                  <color theme="0"/>
                </left>
                <right style="thin">
                  <color theme="0"/>
                </right>
                <top style="thin">
                  <color theme="0"/>
                </top>
                <bottom style="thin">
                  <color theme="0"/>
                </bottom>
                <vertical/>
                <horizontal/>
              </border>
            </x14:dxf>
          </x14:cfRule>
          <xm:sqref>N100</xm:sqref>
        </x14:conditionalFormatting>
        <x14:conditionalFormatting xmlns:xm="http://schemas.microsoft.com/office/excel/2006/main">
          <x14:cfRule type="expression" priority="2045" id="{5E88E285-50C1-45B0-8809-FE6EE42280C1}">
            <xm:f>$Z$8='Assessment Details'!$Q$23</xm:f>
            <x14:dxf>
              <font>
                <color theme="0"/>
              </font>
              <fill>
                <patternFill>
                  <bgColor theme="0"/>
                </patternFill>
              </fill>
            </x14:dxf>
          </x14:cfRule>
          <xm:sqref>X100:Y100</xm:sqref>
        </x14:conditionalFormatting>
        <x14:conditionalFormatting xmlns:xm="http://schemas.microsoft.com/office/excel/2006/main">
          <x14:cfRule type="expression" priority="2044" id="{B2A6B52D-816E-4EA0-B131-D139B7B3810A}">
            <xm:f>$Z$8='Assessment Details'!$Q$23</xm:f>
            <x14:dxf>
              <border>
                <left style="thin">
                  <color theme="0"/>
                </left>
                <right style="thin">
                  <color theme="0"/>
                </right>
                <top style="thin">
                  <color theme="0"/>
                </top>
                <bottom style="thin">
                  <color theme="0"/>
                </bottom>
                <vertical/>
                <horizontal/>
              </border>
            </x14:dxf>
          </x14:cfRule>
          <xm:sqref>X100:Y100</xm:sqref>
        </x14:conditionalFormatting>
        <x14:conditionalFormatting xmlns:xm="http://schemas.microsoft.com/office/excel/2006/main">
          <x14:cfRule type="expression" priority="2030" id="{14EED676-A4E1-4BFD-83F8-AA561679BBD0}">
            <xm:f>$Z$8='Assessment Details'!$Q$23</xm:f>
            <x14:dxf>
              <font>
                <color theme="0"/>
              </font>
              <fill>
                <patternFill>
                  <bgColor theme="0"/>
                </patternFill>
              </fill>
            </x14:dxf>
          </x14:cfRule>
          <xm:sqref>U100</xm:sqref>
        </x14:conditionalFormatting>
        <x14:conditionalFormatting xmlns:xm="http://schemas.microsoft.com/office/excel/2006/main">
          <x14:cfRule type="expression" priority="2029" id="{6AAD1F98-0862-4CC9-897D-B8E6FDC1C8BC}">
            <xm:f>$Z$8='Assessment Details'!$Q$23</xm:f>
            <x14:dxf>
              <border>
                <left style="thin">
                  <color theme="0"/>
                </left>
                <right style="thin">
                  <color theme="0"/>
                </right>
                <top style="thin">
                  <color theme="0"/>
                </top>
                <bottom style="thin">
                  <color theme="0"/>
                </bottom>
                <vertical/>
                <horizontal/>
              </border>
            </x14:dxf>
          </x14:cfRule>
          <xm:sqref>U100</xm:sqref>
        </x14:conditionalFormatting>
        <x14:conditionalFormatting xmlns:xm="http://schemas.microsoft.com/office/excel/2006/main">
          <x14:cfRule type="expression" priority="2016" id="{441C8689-B4E2-429B-9CEA-778569C7C540}">
            <xm:f>$Z$8='Assessment Details'!$Q$23</xm:f>
            <x14:dxf>
              <font>
                <color theme="0"/>
              </font>
              <fill>
                <patternFill>
                  <bgColor theme="0"/>
                </patternFill>
              </fill>
            </x14:dxf>
          </x14:cfRule>
          <xm:sqref>X106:Y106</xm:sqref>
        </x14:conditionalFormatting>
        <x14:conditionalFormatting xmlns:xm="http://schemas.microsoft.com/office/excel/2006/main">
          <x14:cfRule type="expression" priority="2015" id="{EF608D6E-1539-43FF-B8D6-278AB35159A5}">
            <xm:f>$Z$8='Assessment Details'!$Q$23</xm:f>
            <x14:dxf>
              <border>
                <left style="thin">
                  <color theme="0"/>
                </left>
                <right style="thin">
                  <color theme="0"/>
                </right>
                <top style="thin">
                  <color theme="0"/>
                </top>
                <bottom style="thin">
                  <color theme="0"/>
                </bottom>
                <vertical/>
                <horizontal/>
              </border>
            </x14:dxf>
          </x14:cfRule>
          <xm:sqref>X106:Y106</xm:sqref>
        </x14:conditionalFormatting>
        <x14:conditionalFormatting xmlns:xm="http://schemas.microsoft.com/office/excel/2006/main">
          <x14:cfRule type="expression" priority="1989" id="{7B2A31D0-1B1D-40B1-A127-9805B0DD5AF0}">
            <xm:f>$S$8='Assessment Details'!$Q$23</xm:f>
            <x14:dxf>
              <font>
                <color theme="0"/>
              </font>
              <fill>
                <patternFill>
                  <bgColor theme="0"/>
                </patternFill>
              </fill>
              <border>
                <vertical/>
                <horizontal/>
              </border>
            </x14:dxf>
          </x14:cfRule>
          <xm:sqref>N108</xm:sqref>
        </x14:conditionalFormatting>
        <x14:conditionalFormatting xmlns:xm="http://schemas.microsoft.com/office/excel/2006/main">
          <x14:cfRule type="expression" priority="1988" id="{E6FA7601-77CD-4AE7-992B-729BB6BD7E1A}">
            <xm:f>$S$8='Assessment Details'!$Q$23</xm:f>
            <x14:dxf>
              <border>
                <left style="thin">
                  <color theme="0"/>
                </left>
                <right style="thin">
                  <color theme="0"/>
                </right>
                <top style="thin">
                  <color theme="0"/>
                </top>
                <bottom style="thin">
                  <color theme="0"/>
                </bottom>
                <vertical/>
                <horizontal/>
              </border>
            </x14:dxf>
          </x14:cfRule>
          <xm:sqref>N108</xm:sqref>
        </x14:conditionalFormatting>
        <x14:conditionalFormatting xmlns:xm="http://schemas.microsoft.com/office/excel/2006/main">
          <x14:cfRule type="expression" priority="1987" id="{424714F3-BE21-4E51-B5AE-058A206714D5}">
            <xm:f>$Z$8='Assessment Details'!$Q$23</xm:f>
            <x14:dxf>
              <font>
                <color theme="0"/>
              </font>
              <fill>
                <patternFill>
                  <bgColor theme="0"/>
                </patternFill>
              </fill>
            </x14:dxf>
          </x14:cfRule>
          <xm:sqref>X108:Y108</xm:sqref>
        </x14:conditionalFormatting>
        <x14:conditionalFormatting xmlns:xm="http://schemas.microsoft.com/office/excel/2006/main">
          <x14:cfRule type="expression" priority="1986" id="{F5867DB7-16F4-4BFC-BCBE-34DBD34DF362}">
            <xm:f>$Z$8='Assessment Details'!$Q$23</xm:f>
            <x14:dxf>
              <border>
                <left style="thin">
                  <color theme="0"/>
                </left>
                <right style="thin">
                  <color theme="0"/>
                </right>
                <top style="thin">
                  <color theme="0"/>
                </top>
                <bottom style="thin">
                  <color theme="0"/>
                </bottom>
                <vertical/>
                <horizontal/>
              </border>
            </x14:dxf>
          </x14:cfRule>
          <xm:sqref>X108:Y108</xm:sqref>
        </x14:conditionalFormatting>
        <x14:conditionalFormatting xmlns:xm="http://schemas.microsoft.com/office/excel/2006/main">
          <x14:cfRule type="expression" priority="1972" id="{4A476CF7-E041-4E3A-99FF-8438380D39EC}">
            <xm:f>$Z$8='Assessment Details'!$Q$23</xm:f>
            <x14:dxf>
              <font>
                <color theme="0"/>
              </font>
              <fill>
                <patternFill>
                  <bgColor theme="0"/>
                </patternFill>
              </fill>
            </x14:dxf>
          </x14:cfRule>
          <xm:sqref>U108</xm:sqref>
        </x14:conditionalFormatting>
        <x14:conditionalFormatting xmlns:xm="http://schemas.microsoft.com/office/excel/2006/main">
          <x14:cfRule type="expression" priority="1971" id="{F62E1726-0408-441A-A6AF-C3E7A5ECAD32}">
            <xm:f>$Z$8='Assessment Details'!$Q$23</xm:f>
            <x14:dxf>
              <border>
                <left style="thin">
                  <color theme="0"/>
                </left>
                <right style="thin">
                  <color theme="0"/>
                </right>
                <top style="thin">
                  <color theme="0"/>
                </top>
                <bottom style="thin">
                  <color theme="0"/>
                </bottom>
                <vertical/>
                <horizontal/>
              </border>
            </x14:dxf>
          </x14:cfRule>
          <xm:sqref>U108</xm:sqref>
        </x14:conditionalFormatting>
        <x14:conditionalFormatting xmlns:xm="http://schemas.microsoft.com/office/excel/2006/main">
          <x14:cfRule type="expression" priority="1960" id="{32892BEA-02D1-45A9-8A5E-FD88AD203770}">
            <xm:f>$S$8='Assessment Details'!$Q$23</xm:f>
            <x14:dxf>
              <font>
                <color theme="0"/>
              </font>
              <fill>
                <patternFill>
                  <bgColor theme="0"/>
                </patternFill>
              </fill>
              <border>
                <vertical/>
                <horizontal/>
              </border>
            </x14:dxf>
          </x14:cfRule>
          <xm:sqref>N110:N112</xm:sqref>
        </x14:conditionalFormatting>
        <x14:conditionalFormatting xmlns:xm="http://schemas.microsoft.com/office/excel/2006/main">
          <x14:cfRule type="expression" priority="1959" id="{0CC88DFC-5A80-49DF-8B48-B6A3B1455E8E}">
            <xm:f>$S$8='Assessment Details'!$Q$23</xm:f>
            <x14:dxf>
              <border>
                <left style="thin">
                  <color theme="0"/>
                </left>
                <right style="thin">
                  <color theme="0"/>
                </right>
                <top style="thin">
                  <color theme="0"/>
                </top>
                <bottom style="thin">
                  <color theme="0"/>
                </bottom>
                <vertical/>
                <horizontal/>
              </border>
            </x14:dxf>
          </x14:cfRule>
          <xm:sqref>N110:N112</xm:sqref>
        </x14:conditionalFormatting>
        <x14:conditionalFormatting xmlns:xm="http://schemas.microsoft.com/office/excel/2006/main">
          <x14:cfRule type="expression" priority="1958" id="{B3A5F764-8080-490B-A02D-C22DA6F0062A}">
            <xm:f>$Z$8='Assessment Details'!$Q$23</xm:f>
            <x14:dxf>
              <font>
                <color theme="0"/>
              </font>
              <fill>
                <patternFill>
                  <bgColor theme="0"/>
                </patternFill>
              </fill>
            </x14:dxf>
          </x14:cfRule>
          <xm:sqref>X110:Y112</xm:sqref>
        </x14:conditionalFormatting>
        <x14:conditionalFormatting xmlns:xm="http://schemas.microsoft.com/office/excel/2006/main">
          <x14:cfRule type="expression" priority="1957" id="{45E4DBE2-E841-4A11-8D13-23BBA2767A47}">
            <xm:f>$Z$8='Assessment Details'!$Q$23</xm:f>
            <x14:dxf>
              <border>
                <left style="thin">
                  <color theme="0"/>
                </left>
                <right style="thin">
                  <color theme="0"/>
                </right>
                <top style="thin">
                  <color theme="0"/>
                </top>
                <bottom style="thin">
                  <color theme="0"/>
                </bottom>
                <vertical/>
                <horizontal/>
              </border>
            </x14:dxf>
          </x14:cfRule>
          <xm:sqref>X110:Y112</xm:sqref>
        </x14:conditionalFormatting>
        <x14:conditionalFormatting xmlns:xm="http://schemas.microsoft.com/office/excel/2006/main">
          <x14:cfRule type="expression" priority="1943" id="{D72C36D9-F5B6-4AB0-8FB7-C5F40119A46A}">
            <xm:f>$Z$8='Assessment Details'!$Q$23</xm:f>
            <x14:dxf>
              <font>
                <color theme="0"/>
              </font>
              <fill>
                <patternFill>
                  <bgColor theme="0"/>
                </patternFill>
              </fill>
            </x14:dxf>
          </x14:cfRule>
          <xm:sqref>U110:U112</xm:sqref>
        </x14:conditionalFormatting>
        <x14:conditionalFormatting xmlns:xm="http://schemas.microsoft.com/office/excel/2006/main">
          <x14:cfRule type="expression" priority="1942" id="{1E986299-3ACC-45EB-86AF-48B4725B7348}">
            <xm:f>$Z$8='Assessment Details'!$Q$23</xm:f>
            <x14:dxf>
              <border>
                <left style="thin">
                  <color theme="0"/>
                </left>
                <right style="thin">
                  <color theme="0"/>
                </right>
                <top style="thin">
                  <color theme="0"/>
                </top>
                <bottom style="thin">
                  <color theme="0"/>
                </bottom>
                <vertical/>
                <horizontal/>
              </border>
            </x14:dxf>
          </x14:cfRule>
          <xm:sqref>U110:U112</xm:sqref>
        </x14:conditionalFormatting>
        <x14:conditionalFormatting xmlns:xm="http://schemas.microsoft.com/office/excel/2006/main">
          <x14:cfRule type="expression" priority="1931" id="{68C9DA0A-41E6-4F15-A030-01D389F3B82A}">
            <xm:f>$S$8='Assessment Details'!$Q$23</xm:f>
            <x14:dxf>
              <font>
                <color theme="0"/>
              </font>
              <fill>
                <patternFill>
                  <bgColor theme="0"/>
                </patternFill>
              </fill>
              <border>
                <vertical/>
                <horizontal/>
              </border>
            </x14:dxf>
          </x14:cfRule>
          <xm:sqref>N114</xm:sqref>
        </x14:conditionalFormatting>
        <x14:conditionalFormatting xmlns:xm="http://schemas.microsoft.com/office/excel/2006/main">
          <x14:cfRule type="expression" priority="1930" id="{465F5CC7-097C-46A4-B3E3-D5C4711C66D2}">
            <xm:f>$S$8='Assessment Details'!$Q$23</xm:f>
            <x14:dxf>
              <border>
                <left style="thin">
                  <color theme="0"/>
                </left>
                <right style="thin">
                  <color theme="0"/>
                </right>
                <top style="thin">
                  <color theme="0"/>
                </top>
                <bottom style="thin">
                  <color theme="0"/>
                </bottom>
                <vertical/>
                <horizontal/>
              </border>
            </x14:dxf>
          </x14:cfRule>
          <xm:sqref>N114</xm:sqref>
        </x14:conditionalFormatting>
        <x14:conditionalFormatting xmlns:xm="http://schemas.microsoft.com/office/excel/2006/main">
          <x14:cfRule type="expression" priority="1929" id="{B09F6E3B-E8D4-4827-A0F3-C8817143544E}">
            <xm:f>$Z$8='Assessment Details'!$Q$23</xm:f>
            <x14:dxf>
              <font>
                <color theme="0"/>
              </font>
              <fill>
                <patternFill>
                  <bgColor theme="0"/>
                </patternFill>
              </fill>
            </x14:dxf>
          </x14:cfRule>
          <xm:sqref>X114:Y114</xm:sqref>
        </x14:conditionalFormatting>
        <x14:conditionalFormatting xmlns:xm="http://schemas.microsoft.com/office/excel/2006/main">
          <x14:cfRule type="expression" priority="1928" id="{FA46903B-E196-4B2F-AA44-27F41C6DA8AE}">
            <xm:f>$Z$8='Assessment Details'!$Q$23</xm:f>
            <x14:dxf>
              <border>
                <left style="thin">
                  <color theme="0"/>
                </left>
                <right style="thin">
                  <color theme="0"/>
                </right>
                <top style="thin">
                  <color theme="0"/>
                </top>
                <bottom style="thin">
                  <color theme="0"/>
                </bottom>
                <vertical/>
                <horizontal/>
              </border>
            </x14:dxf>
          </x14:cfRule>
          <xm:sqref>X114:Y114</xm:sqref>
        </x14:conditionalFormatting>
        <x14:conditionalFormatting xmlns:xm="http://schemas.microsoft.com/office/excel/2006/main">
          <x14:cfRule type="expression" priority="1914" id="{9242C56E-CA89-438D-AEA3-F07652B9C657}">
            <xm:f>$Z$8='Assessment Details'!$Q$23</xm:f>
            <x14:dxf>
              <font>
                <color theme="0"/>
              </font>
              <fill>
                <patternFill>
                  <bgColor theme="0"/>
                </patternFill>
              </fill>
            </x14:dxf>
          </x14:cfRule>
          <xm:sqref>U114</xm:sqref>
        </x14:conditionalFormatting>
        <x14:conditionalFormatting xmlns:xm="http://schemas.microsoft.com/office/excel/2006/main">
          <x14:cfRule type="expression" priority="1913" id="{7730D062-E525-41F5-8B6A-F8A1FB99B752}">
            <xm:f>$Z$8='Assessment Details'!$Q$23</xm:f>
            <x14:dxf>
              <border>
                <left style="thin">
                  <color theme="0"/>
                </left>
                <right style="thin">
                  <color theme="0"/>
                </right>
                <top style="thin">
                  <color theme="0"/>
                </top>
                <bottom style="thin">
                  <color theme="0"/>
                </bottom>
                <vertical/>
                <horizontal/>
              </border>
            </x14:dxf>
          </x14:cfRule>
          <xm:sqref>U114</xm:sqref>
        </x14:conditionalFormatting>
        <x14:conditionalFormatting xmlns:xm="http://schemas.microsoft.com/office/excel/2006/main">
          <x14:cfRule type="expression" priority="1902" id="{2A9D427E-F068-408E-9A4C-FE1929F9F5E4}">
            <xm:f>$S$8='Assessment Details'!$Q$23</xm:f>
            <x14:dxf>
              <font>
                <color theme="0"/>
              </font>
              <fill>
                <patternFill>
                  <bgColor theme="0"/>
                </patternFill>
              </fill>
              <border>
                <vertical/>
                <horizontal/>
              </border>
            </x14:dxf>
          </x14:cfRule>
          <xm:sqref>N120</xm:sqref>
        </x14:conditionalFormatting>
        <x14:conditionalFormatting xmlns:xm="http://schemas.microsoft.com/office/excel/2006/main">
          <x14:cfRule type="expression" priority="1901" id="{F70B8EC2-3323-4B73-B934-DBAAEBE485B1}">
            <xm:f>$S$8='Assessment Details'!$Q$23</xm:f>
            <x14:dxf>
              <border>
                <left style="thin">
                  <color theme="0"/>
                </left>
                <right style="thin">
                  <color theme="0"/>
                </right>
                <top style="thin">
                  <color theme="0"/>
                </top>
                <bottom style="thin">
                  <color theme="0"/>
                </bottom>
                <vertical/>
                <horizontal/>
              </border>
            </x14:dxf>
          </x14:cfRule>
          <xm:sqref>N120</xm:sqref>
        </x14:conditionalFormatting>
        <x14:conditionalFormatting xmlns:xm="http://schemas.microsoft.com/office/excel/2006/main">
          <x14:cfRule type="expression" priority="1900" id="{D0EC2C93-38C2-4976-BC0B-22F92CEE26B0}">
            <xm:f>$Z$8='Assessment Details'!$Q$23</xm:f>
            <x14:dxf>
              <font>
                <color theme="0"/>
              </font>
              <fill>
                <patternFill>
                  <bgColor theme="0"/>
                </patternFill>
              </fill>
            </x14:dxf>
          </x14:cfRule>
          <xm:sqref>X119:Y120</xm:sqref>
        </x14:conditionalFormatting>
        <x14:conditionalFormatting xmlns:xm="http://schemas.microsoft.com/office/excel/2006/main">
          <x14:cfRule type="expression" priority="1899" id="{F128472A-ED34-44A1-932D-38AA3104F105}">
            <xm:f>$Z$8='Assessment Details'!$Q$23</xm:f>
            <x14:dxf>
              <border>
                <left style="thin">
                  <color theme="0"/>
                </left>
                <right style="thin">
                  <color theme="0"/>
                </right>
                <top style="thin">
                  <color theme="0"/>
                </top>
                <bottom style="thin">
                  <color theme="0"/>
                </bottom>
                <vertical/>
                <horizontal/>
              </border>
            </x14:dxf>
          </x14:cfRule>
          <xm:sqref>X119:Y120</xm:sqref>
        </x14:conditionalFormatting>
        <x14:conditionalFormatting xmlns:xm="http://schemas.microsoft.com/office/excel/2006/main">
          <x14:cfRule type="expression" priority="1885" id="{6CBC215F-BE7D-4245-AD38-D6540C807748}">
            <xm:f>$Z$8='Assessment Details'!$Q$23</xm:f>
            <x14:dxf>
              <font>
                <color theme="0"/>
              </font>
              <fill>
                <patternFill>
                  <bgColor theme="0"/>
                </patternFill>
              </fill>
            </x14:dxf>
          </x14:cfRule>
          <xm:sqref>U120</xm:sqref>
        </x14:conditionalFormatting>
        <x14:conditionalFormatting xmlns:xm="http://schemas.microsoft.com/office/excel/2006/main">
          <x14:cfRule type="expression" priority="1884" id="{0131B8D1-C936-431C-BCC9-E24458EECDC5}">
            <xm:f>$Z$8='Assessment Details'!$Q$23</xm:f>
            <x14:dxf>
              <border>
                <left style="thin">
                  <color theme="0"/>
                </left>
                <right style="thin">
                  <color theme="0"/>
                </right>
                <top style="thin">
                  <color theme="0"/>
                </top>
                <bottom style="thin">
                  <color theme="0"/>
                </bottom>
                <vertical/>
                <horizontal/>
              </border>
            </x14:dxf>
          </x14:cfRule>
          <xm:sqref>U120</xm:sqref>
        </x14:conditionalFormatting>
        <x14:conditionalFormatting xmlns:xm="http://schemas.microsoft.com/office/excel/2006/main">
          <x14:cfRule type="expression" priority="1873" id="{5EEE7B26-7396-44F8-ABF7-24978A46B1C3}">
            <xm:f>$S$8='Assessment Details'!$Q$23</xm:f>
            <x14:dxf>
              <font>
                <color theme="0"/>
              </font>
              <fill>
                <patternFill>
                  <bgColor theme="0"/>
                </patternFill>
              </fill>
              <border>
                <vertical/>
                <horizontal/>
              </border>
            </x14:dxf>
          </x14:cfRule>
          <xm:sqref>N121</xm:sqref>
        </x14:conditionalFormatting>
        <x14:conditionalFormatting xmlns:xm="http://schemas.microsoft.com/office/excel/2006/main">
          <x14:cfRule type="expression" priority="1872" id="{A8975BC4-D1ED-4A55-BFF5-4EF4B3D0E2D2}">
            <xm:f>$S$8='Assessment Details'!$Q$23</xm:f>
            <x14:dxf>
              <border>
                <left style="thin">
                  <color theme="0"/>
                </left>
                <right style="thin">
                  <color theme="0"/>
                </right>
                <top style="thin">
                  <color theme="0"/>
                </top>
                <bottom style="thin">
                  <color theme="0"/>
                </bottom>
                <vertical/>
                <horizontal/>
              </border>
            </x14:dxf>
          </x14:cfRule>
          <xm:sqref>N121</xm:sqref>
        </x14:conditionalFormatting>
        <x14:conditionalFormatting xmlns:xm="http://schemas.microsoft.com/office/excel/2006/main">
          <x14:cfRule type="expression" priority="1871" id="{23A9E5FA-49A4-4977-BD8C-4BFBBC074599}">
            <xm:f>$Z$8='Assessment Details'!$Q$23</xm:f>
            <x14:dxf>
              <font>
                <color theme="0"/>
              </font>
              <fill>
                <patternFill>
                  <bgColor theme="0"/>
                </patternFill>
              </fill>
            </x14:dxf>
          </x14:cfRule>
          <xm:sqref>X121:Y121</xm:sqref>
        </x14:conditionalFormatting>
        <x14:conditionalFormatting xmlns:xm="http://schemas.microsoft.com/office/excel/2006/main">
          <x14:cfRule type="expression" priority="1870" id="{5B988751-BAC6-4E77-BD88-FA97DAFB6FAC}">
            <xm:f>$Z$8='Assessment Details'!$Q$23</xm:f>
            <x14:dxf>
              <border>
                <left style="thin">
                  <color theme="0"/>
                </left>
                <right style="thin">
                  <color theme="0"/>
                </right>
                <top style="thin">
                  <color theme="0"/>
                </top>
                <bottom style="thin">
                  <color theme="0"/>
                </bottom>
                <vertical/>
                <horizontal/>
              </border>
            </x14:dxf>
          </x14:cfRule>
          <xm:sqref>X121:Y121</xm:sqref>
        </x14:conditionalFormatting>
        <x14:conditionalFormatting xmlns:xm="http://schemas.microsoft.com/office/excel/2006/main">
          <x14:cfRule type="expression" priority="1856" id="{25A8BB2B-FA58-4854-B931-12D08C4D10E1}">
            <xm:f>$Z$8='Assessment Details'!$Q$23</xm:f>
            <x14:dxf>
              <font>
                <color theme="0"/>
              </font>
              <fill>
                <patternFill>
                  <bgColor theme="0"/>
                </patternFill>
              </fill>
            </x14:dxf>
          </x14:cfRule>
          <xm:sqref>U121</xm:sqref>
        </x14:conditionalFormatting>
        <x14:conditionalFormatting xmlns:xm="http://schemas.microsoft.com/office/excel/2006/main">
          <x14:cfRule type="expression" priority="1855" id="{101DB69E-756E-4F0C-B9F7-8E8E0215D90A}">
            <xm:f>$Z$8='Assessment Details'!$Q$23</xm:f>
            <x14:dxf>
              <border>
                <left style="thin">
                  <color theme="0"/>
                </left>
                <right style="thin">
                  <color theme="0"/>
                </right>
                <top style="thin">
                  <color theme="0"/>
                </top>
                <bottom style="thin">
                  <color theme="0"/>
                </bottom>
                <vertical/>
                <horizontal/>
              </border>
            </x14:dxf>
          </x14:cfRule>
          <xm:sqref>U121</xm:sqref>
        </x14:conditionalFormatting>
        <x14:conditionalFormatting xmlns:xm="http://schemas.microsoft.com/office/excel/2006/main">
          <x14:cfRule type="expression" priority="1844" id="{4EF6E49C-BED4-406F-BE87-7B0360FDAB67}">
            <xm:f>$S$8='Assessment Details'!$Q$23</xm:f>
            <x14:dxf>
              <font>
                <color theme="0"/>
              </font>
              <fill>
                <patternFill>
                  <bgColor theme="0"/>
                </patternFill>
              </fill>
              <border>
                <vertical/>
                <horizontal/>
              </border>
            </x14:dxf>
          </x14:cfRule>
          <xm:sqref>N124:N125</xm:sqref>
        </x14:conditionalFormatting>
        <x14:conditionalFormatting xmlns:xm="http://schemas.microsoft.com/office/excel/2006/main">
          <x14:cfRule type="expression" priority="1843" id="{D3C34911-69F8-48A1-B6ED-DE82D42E819B}">
            <xm:f>$S$8='Assessment Details'!$Q$23</xm:f>
            <x14:dxf>
              <border>
                <left style="thin">
                  <color theme="0"/>
                </left>
                <right style="thin">
                  <color theme="0"/>
                </right>
                <top style="thin">
                  <color theme="0"/>
                </top>
                <bottom style="thin">
                  <color theme="0"/>
                </bottom>
                <vertical/>
                <horizontal/>
              </border>
            </x14:dxf>
          </x14:cfRule>
          <xm:sqref>N124:N125</xm:sqref>
        </x14:conditionalFormatting>
        <x14:conditionalFormatting xmlns:xm="http://schemas.microsoft.com/office/excel/2006/main">
          <x14:cfRule type="expression" priority="1842" id="{50060DB4-2C50-4831-A3DC-1D9336373361}">
            <xm:f>$Z$8='Assessment Details'!$Q$23</xm:f>
            <x14:dxf>
              <font>
                <color theme="0"/>
              </font>
              <fill>
                <patternFill>
                  <bgColor theme="0"/>
                </patternFill>
              </fill>
            </x14:dxf>
          </x14:cfRule>
          <xm:sqref>X123:Y125</xm:sqref>
        </x14:conditionalFormatting>
        <x14:conditionalFormatting xmlns:xm="http://schemas.microsoft.com/office/excel/2006/main">
          <x14:cfRule type="expression" priority="1841" id="{CF922480-7679-4BE3-8DC7-0D0FFD64470E}">
            <xm:f>$Z$8='Assessment Details'!$Q$23</xm:f>
            <x14:dxf>
              <border>
                <left style="thin">
                  <color theme="0"/>
                </left>
                <right style="thin">
                  <color theme="0"/>
                </right>
                <top style="thin">
                  <color theme="0"/>
                </top>
                <bottom style="thin">
                  <color theme="0"/>
                </bottom>
                <vertical/>
                <horizontal/>
              </border>
            </x14:dxf>
          </x14:cfRule>
          <xm:sqref>X123:Y125</xm:sqref>
        </x14:conditionalFormatting>
        <x14:conditionalFormatting xmlns:xm="http://schemas.microsoft.com/office/excel/2006/main">
          <x14:cfRule type="expression" priority="1827" id="{4A45FB35-FE9A-46BB-B9AD-F40678324215}">
            <xm:f>$Z$8='Assessment Details'!$Q$23</xm:f>
            <x14:dxf>
              <font>
                <color theme="0"/>
              </font>
              <fill>
                <patternFill>
                  <bgColor theme="0"/>
                </patternFill>
              </fill>
            </x14:dxf>
          </x14:cfRule>
          <xm:sqref>U124:U125</xm:sqref>
        </x14:conditionalFormatting>
        <x14:conditionalFormatting xmlns:xm="http://schemas.microsoft.com/office/excel/2006/main">
          <x14:cfRule type="expression" priority="1826" id="{F7821420-C628-4DF6-8DAC-B0AFE8E5A034}">
            <xm:f>$Z$8='Assessment Details'!$Q$23</xm:f>
            <x14:dxf>
              <border>
                <left style="thin">
                  <color theme="0"/>
                </left>
                <right style="thin">
                  <color theme="0"/>
                </right>
                <top style="thin">
                  <color theme="0"/>
                </top>
                <bottom style="thin">
                  <color theme="0"/>
                </bottom>
                <vertical/>
                <horizontal/>
              </border>
            </x14:dxf>
          </x14:cfRule>
          <xm:sqref>U124:U125</xm:sqref>
        </x14:conditionalFormatting>
        <x14:conditionalFormatting xmlns:xm="http://schemas.microsoft.com/office/excel/2006/main">
          <x14:cfRule type="expression" priority="1815" id="{B92208E3-902A-4A3B-A3BA-3CCAB64D775D}">
            <xm:f>$S$8='Assessment Details'!$Q$23</xm:f>
            <x14:dxf>
              <font>
                <color theme="0"/>
              </font>
              <fill>
                <patternFill>
                  <bgColor theme="0"/>
                </patternFill>
              </fill>
              <border>
                <vertical/>
                <horizontal/>
              </border>
            </x14:dxf>
          </x14:cfRule>
          <xm:sqref>N128:N129</xm:sqref>
        </x14:conditionalFormatting>
        <x14:conditionalFormatting xmlns:xm="http://schemas.microsoft.com/office/excel/2006/main">
          <x14:cfRule type="expression" priority="1814" id="{FC32DA5C-ADDF-4F88-BA91-610EC7A39372}">
            <xm:f>$S$8='Assessment Details'!$Q$23</xm:f>
            <x14:dxf>
              <border>
                <left style="thin">
                  <color theme="0"/>
                </left>
                <right style="thin">
                  <color theme="0"/>
                </right>
                <top style="thin">
                  <color theme="0"/>
                </top>
                <bottom style="thin">
                  <color theme="0"/>
                </bottom>
                <vertical/>
                <horizontal/>
              </border>
            </x14:dxf>
          </x14:cfRule>
          <xm:sqref>N128:N129</xm:sqref>
        </x14:conditionalFormatting>
        <x14:conditionalFormatting xmlns:xm="http://schemas.microsoft.com/office/excel/2006/main">
          <x14:cfRule type="expression" priority="1813" id="{D8C23F1C-454E-4E05-912D-430FD2303616}">
            <xm:f>$Z$8='Assessment Details'!$Q$23</xm:f>
            <x14:dxf>
              <font>
                <color theme="0"/>
              </font>
              <fill>
                <patternFill>
                  <bgColor theme="0"/>
                </patternFill>
              </fill>
            </x14:dxf>
          </x14:cfRule>
          <xm:sqref>X127:Y129</xm:sqref>
        </x14:conditionalFormatting>
        <x14:conditionalFormatting xmlns:xm="http://schemas.microsoft.com/office/excel/2006/main">
          <x14:cfRule type="expression" priority="1812" id="{53437D6B-49B0-41C9-89F4-EEC6C6271F13}">
            <xm:f>$Z$8='Assessment Details'!$Q$23</xm:f>
            <x14:dxf>
              <border>
                <left style="thin">
                  <color theme="0"/>
                </left>
                <right style="thin">
                  <color theme="0"/>
                </right>
                <top style="thin">
                  <color theme="0"/>
                </top>
                <bottom style="thin">
                  <color theme="0"/>
                </bottom>
                <vertical/>
                <horizontal/>
              </border>
            </x14:dxf>
          </x14:cfRule>
          <xm:sqref>X127:Y129</xm:sqref>
        </x14:conditionalFormatting>
        <x14:conditionalFormatting xmlns:xm="http://schemas.microsoft.com/office/excel/2006/main">
          <x14:cfRule type="expression" priority="1798" id="{53C57763-7EE5-400D-89B9-CA43CE3A32A4}">
            <xm:f>$Z$8='Assessment Details'!$Q$23</xm:f>
            <x14:dxf>
              <font>
                <color theme="0"/>
              </font>
              <fill>
                <patternFill>
                  <bgColor theme="0"/>
                </patternFill>
              </fill>
            </x14:dxf>
          </x14:cfRule>
          <xm:sqref>U128:U129</xm:sqref>
        </x14:conditionalFormatting>
        <x14:conditionalFormatting xmlns:xm="http://schemas.microsoft.com/office/excel/2006/main">
          <x14:cfRule type="expression" priority="1797" id="{8BCEF200-DDC5-4E75-94A7-174946B7B2C8}">
            <xm:f>$Z$8='Assessment Details'!$Q$23</xm:f>
            <x14:dxf>
              <border>
                <left style="thin">
                  <color theme="0"/>
                </left>
                <right style="thin">
                  <color theme="0"/>
                </right>
                <top style="thin">
                  <color theme="0"/>
                </top>
                <bottom style="thin">
                  <color theme="0"/>
                </bottom>
                <vertical/>
                <horizontal/>
              </border>
            </x14:dxf>
          </x14:cfRule>
          <xm:sqref>U128:U129</xm:sqref>
        </x14:conditionalFormatting>
        <x14:conditionalFormatting xmlns:xm="http://schemas.microsoft.com/office/excel/2006/main">
          <x14:cfRule type="expression" priority="1786" id="{E0A16678-FC5B-4F26-AF0E-E9AFC51AFB43}">
            <xm:f>$S$8='Assessment Details'!$Q$23</xm:f>
            <x14:dxf>
              <font>
                <color theme="0"/>
              </font>
              <fill>
                <patternFill>
                  <bgColor theme="0"/>
                </patternFill>
              </fill>
              <border>
                <vertical/>
                <horizontal/>
              </border>
            </x14:dxf>
          </x14:cfRule>
          <xm:sqref>N132:N134</xm:sqref>
        </x14:conditionalFormatting>
        <x14:conditionalFormatting xmlns:xm="http://schemas.microsoft.com/office/excel/2006/main">
          <x14:cfRule type="expression" priority="1785" id="{5E2010F1-4E53-4B39-AA66-3C4D0BAC458C}">
            <xm:f>$S$8='Assessment Details'!$Q$23</xm:f>
            <x14:dxf>
              <border>
                <left style="thin">
                  <color theme="0"/>
                </left>
                <right style="thin">
                  <color theme="0"/>
                </right>
                <top style="thin">
                  <color theme="0"/>
                </top>
                <bottom style="thin">
                  <color theme="0"/>
                </bottom>
                <vertical/>
                <horizontal/>
              </border>
            </x14:dxf>
          </x14:cfRule>
          <xm:sqref>N132:N134</xm:sqref>
        </x14:conditionalFormatting>
        <x14:conditionalFormatting xmlns:xm="http://schemas.microsoft.com/office/excel/2006/main">
          <x14:cfRule type="expression" priority="1784" id="{2C445FB8-32E5-4052-ADCA-D641C5E82EFE}">
            <xm:f>$Z$8='Assessment Details'!$Q$23</xm:f>
            <x14:dxf>
              <font>
                <color theme="0"/>
              </font>
              <fill>
                <patternFill>
                  <bgColor theme="0"/>
                </patternFill>
              </fill>
            </x14:dxf>
          </x14:cfRule>
          <xm:sqref>X131:Y134</xm:sqref>
        </x14:conditionalFormatting>
        <x14:conditionalFormatting xmlns:xm="http://schemas.microsoft.com/office/excel/2006/main">
          <x14:cfRule type="expression" priority="1783" id="{7BC0A505-FFBA-48EA-97EA-AB95FD4CDA3E}">
            <xm:f>$Z$8='Assessment Details'!$Q$23</xm:f>
            <x14:dxf>
              <border>
                <left style="thin">
                  <color theme="0"/>
                </left>
                <right style="thin">
                  <color theme="0"/>
                </right>
                <top style="thin">
                  <color theme="0"/>
                </top>
                <bottom style="thin">
                  <color theme="0"/>
                </bottom>
                <vertical/>
                <horizontal/>
              </border>
            </x14:dxf>
          </x14:cfRule>
          <xm:sqref>X131:Y134</xm:sqref>
        </x14:conditionalFormatting>
        <x14:conditionalFormatting xmlns:xm="http://schemas.microsoft.com/office/excel/2006/main">
          <x14:cfRule type="expression" priority="1769" id="{7479CEDE-CE48-46F5-B3CE-3EDBA5F25AB2}">
            <xm:f>$Z$8='Assessment Details'!$Q$23</xm:f>
            <x14:dxf>
              <font>
                <color theme="0"/>
              </font>
              <fill>
                <patternFill>
                  <bgColor theme="0"/>
                </patternFill>
              </fill>
            </x14:dxf>
          </x14:cfRule>
          <xm:sqref>U132:U134</xm:sqref>
        </x14:conditionalFormatting>
        <x14:conditionalFormatting xmlns:xm="http://schemas.microsoft.com/office/excel/2006/main">
          <x14:cfRule type="expression" priority="1768" id="{B059EEFB-8402-4A30-961B-BAAB98C9CA61}">
            <xm:f>$Z$8='Assessment Details'!$Q$23</xm:f>
            <x14:dxf>
              <border>
                <left style="thin">
                  <color theme="0"/>
                </left>
                <right style="thin">
                  <color theme="0"/>
                </right>
                <top style="thin">
                  <color theme="0"/>
                </top>
                <bottom style="thin">
                  <color theme="0"/>
                </bottom>
                <vertical/>
                <horizontal/>
              </border>
            </x14:dxf>
          </x14:cfRule>
          <xm:sqref>U132:U134</xm:sqref>
        </x14:conditionalFormatting>
        <x14:conditionalFormatting xmlns:xm="http://schemas.microsoft.com/office/excel/2006/main">
          <x14:cfRule type="expression" priority="1757" id="{7D2398AA-0000-47A2-9781-B5DDD89E5915}">
            <xm:f>$S$8='Assessment Details'!$Q$23</xm:f>
            <x14:dxf>
              <font>
                <color theme="0"/>
              </font>
              <fill>
                <patternFill>
                  <bgColor theme="0"/>
                </patternFill>
              </fill>
              <border>
                <vertical/>
                <horizontal/>
              </border>
            </x14:dxf>
          </x14:cfRule>
          <xm:sqref>N138:N140</xm:sqref>
        </x14:conditionalFormatting>
        <x14:conditionalFormatting xmlns:xm="http://schemas.microsoft.com/office/excel/2006/main">
          <x14:cfRule type="expression" priority="1756" id="{5C2D7F45-EF4C-4E07-804B-000117299471}">
            <xm:f>$S$8='Assessment Details'!$Q$23</xm:f>
            <x14:dxf>
              <border>
                <left style="thin">
                  <color theme="0"/>
                </left>
                <right style="thin">
                  <color theme="0"/>
                </right>
                <top style="thin">
                  <color theme="0"/>
                </top>
                <bottom style="thin">
                  <color theme="0"/>
                </bottom>
                <vertical/>
                <horizontal/>
              </border>
            </x14:dxf>
          </x14:cfRule>
          <xm:sqref>N138:N140</xm:sqref>
        </x14:conditionalFormatting>
        <x14:conditionalFormatting xmlns:xm="http://schemas.microsoft.com/office/excel/2006/main">
          <x14:cfRule type="expression" priority="1755" id="{1925A519-29FE-47D1-856B-6EBA4E436B5F}">
            <xm:f>$Z$8='Assessment Details'!$Q$23</xm:f>
            <x14:dxf>
              <font>
                <color theme="0"/>
              </font>
              <fill>
                <patternFill>
                  <bgColor theme="0"/>
                </patternFill>
              </fill>
            </x14:dxf>
          </x14:cfRule>
          <xm:sqref>X138:Y140</xm:sqref>
        </x14:conditionalFormatting>
        <x14:conditionalFormatting xmlns:xm="http://schemas.microsoft.com/office/excel/2006/main">
          <x14:cfRule type="expression" priority="1754" id="{45006A04-6D52-4DAB-B815-D4A1E7C191C6}">
            <xm:f>$Z$8='Assessment Details'!$Q$23</xm:f>
            <x14:dxf>
              <border>
                <left style="thin">
                  <color theme="0"/>
                </left>
                <right style="thin">
                  <color theme="0"/>
                </right>
                <top style="thin">
                  <color theme="0"/>
                </top>
                <bottom style="thin">
                  <color theme="0"/>
                </bottom>
                <vertical/>
                <horizontal/>
              </border>
            </x14:dxf>
          </x14:cfRule>
          <xm:sqref>X138:Y140</xm:sqref>
        </x14:conditionalFormatting>
        <x14:conditionalFormatting xmlns:xm="http://schemas.microsoft.com/office/excel/2006/main">
          <x14:cfRule type="expression" priority="1740" id="{4CF5F6A5-1E13-47D3-971E-F3306A90C6A5}">
            <xm:f>$Z$8='Assessment Details'!$Q$23</xm:f>
            <x14:dxf>
              <font>
                <color theme="0"/>
              </font>
              <fill>
                <patternFill>
                  <bgColor theme="0"/>
                </patternFill>
              </fill>
            </x14:dxf>
          </x14:cfRule>
          <xm:sqref>U138:U140</xm:sqref>
        </x14:conditionalFormatting>
        <x14:conditionalFormatting xmlns:xm="http://schemas.microsoft.com/office/excel/2006/main">
          <x14:cfRule type="expression" priority="1739" id="{BDB1FD9F-F546-4D48-8CC0-B2F32DA0D5B9}">
            <xm:f>$Z$8='Assessment Details'!$Q$23</xm:f>
            <x14:dxf>
              <border>
                <left style="thin">
                  <color theme="0"/>
                </left>
                <right style="thin">
                  <color theme="0"/>
                </right>
                <top style="thin">
                  <color theme="0"/>
                </top>
                <bottom style="thin">
                  <color theme="0"/>
                </bottom>
                <vertical/>
                <horizontal/>
              </border>
            </x14:dxf>
          </x14:cfRule>
          <xm:sqref>U138:U140</xm:sqref>
        </x14:conditionalFormatting>
        <x14:conditionalFormatting xmlns:xm="http://schemas.microsoft.com/office/excel/2006/main">
          <x14:cfRule type="expression" priority="1728" id="{67140F08-C9FC-46DD-A0AB-3302CF0056E4}">
            <xm:f>$S$8='Assessment Details'!$Q$23</xm:f>
            <x14:dxf>
              <font>
                <color theme="0"/>
              </font>
              <fill>
                <patternFill>
                  <bgColor theme="0"/>
                </patternFill>
              </fill>
              <border>
                <vertical/>
                <horizontal/>
              </border>
            </x14:dxf>
          </x14:cfRule>
          <xm:sqref>N142:N144</xm:sqref>
        </x14:conditionalFormatting>
        <x14:conditionalFormatting xmlns:xm="http://schemas.microsoft.com/office/excel/2006/main">
          <x14:cfRule type="expression" priority="1727" id="{A85ACC34-0D8B-4107-8A96-E3B853C679FE}">
            <xm:f>$S$8='Assessment Details'!$Q$23</xm:f>
            <x14:dxf>
              <border>
                <left style="thin">
                  <color theme="0"/>
                </left>
                <right style="thin">
                  <color theme="0"/>
                </right>
                <top style="thin">
                  <color theme="0"/>
                </top>
                <bottom style="thin">
                  <color theme="0"/>
                </bottom>
                <vertical/>
                <horizontal/>
              </border>
            </x14:dxf>
          </x14:cfRule>
          <xm:sqref>N142:N144</xm:sqref>
        </x14:conditionalFormatting>
        <x14:conditionalFormatting xmlns:xm="http://schemas.microsoft.com/office/excel/2006/main">
          <x14:cfRule type="expression" priority="1726" id="{032792DF-393A-49F6-90A1-EDD69B8A490F}">
            <xm:f>$Z$8='Assessment Details'!$Q$23</xm:f>
            <x14:dxf>
              <font>
                <color theme="0"/>
              </font>
              <fill>
                <patternFill>
                  <bgColor theme="0"/>
                </patternFill>
              </fill>
            </x14:dxf>
          </x14:cfRule>
          <xm:sqref>X142:Y144</xm:sqref>
        </x14:conditionalFormatting>
        <x14:conditionalFormatting xmlns:xm="http://schemas.microsoft.com/office/excel/2006/main">
          <x14:cfRule type="expression" priority="1725" id="{BC2CB9DA-69B3-45A6-9FCD-E6C9BA123E03}">
            <xm:f>$Z$8='Assessment Details'!$Q$23</xm:f>
            <x14:dxf>
              <border>
                <left style="thin">
                  <color theme="0"/>
                </left>
                <right style="thin">
                  <color theme="0"/>
                </right>
                <top style="thin">
                  <color theme="0"/>
                </top>
                <bottom style="thin">
                  <color theme="0"/>
                </bottom>
                <vertical/>
                <horizontal/>
              </border>
            </x14:dxf>
          </x14:cfRule>
          <xm:sqref>X142:Y144</xm:sqref>
        </x14:conditionalFormatting>
        <x14:conditionalFormatting xmlns:xm="http://schemas.microsoft.com/office/excel/2006/main">
          <x14:cfRule type="expression" priority="1711" id="{3EA07825-143D-4430-A697-A414DBE2A254}">
            <xm:f>$Z$8='Assessment Details'!$Q$23</xm:f>
            <x14:dxf>
              <font>
                <color theme="0"/>
              </font>
              <fill>
                <patternFill>
                  <bgColor theme="0"/>
                </patternFill>
              </fill>
            </x14:dxf>
          </x14:cfRule>
          <xm:sqref>U142:U144</xm:sqref>
        </x14:conditionalFormatting>
        <x14:conditionalFormatting xmlns:xm="http://schemas.microsoft.com/office/excel/2006/main">
          <x14:cfRule type="expression" priority="1710" id="{6F66AE9F-82CF-491A-A146-85F93A24A0EB}">
            <xm:f>$Z$8='Assessment Details'!$Q$23</xm:f>
            <x14:dxf>
              <border>
                <left style="thin">
                  <color theme="0"/>
                </left>
                <right style="thin">
                  <color theme="0"/>
                </right>
                <top style="thin">
                  <color theme="0"/>
                </top>
                <bottom style="thin">
                  <color theme="0"/>
                </bottom>
                <vertical/>
                <horizontal/>
              </border>
            </x14:dxf>
          </x14:cfRule>
          <xm:sqref>U142:U144</xm:sqref>
        </x14:conditionalFormatting>
        <x14:conditionalFormatting xmlns:xm="http://schemas.microsoft.com/office/excel/2006/main">
          <x14:cfRule type="expression" priority="1699" id="{44E17499-C2F6-46EF-B2AA-9A3AB76E0407}">
            <xm:f>$S$8='Assessment Details'!$Q$23</xm:f>
            <x14:dxf>
              <font>
                <color theme="0"/>
              </font>
              <fill>
                <patternFill>
                  <bgColor theme="0"/>
                </patternFill>
              </fill>
              <border>
                <vertical/>
                <horizontal/>
              </border>
            </x14:dxf>
          </x14:cfRule>
          <xm:sqref>N151:N152</xm:sqref>
        </x14:conditionalFormatting>
        <x14:conditionalFormatting xmlns:xm="http://schemas.microsoft.com/office/excel/2006/main">
          <x14:cfRule type="expression" priority="1698" id="{1502D2C8-A2B7-45DE-97E7-424E5399048E}">
            <xm:f>$S$8='Assessment Details'!$Q$23</xm:f>
            <x14:dxf>
              <border>
                <left style="thin">
                  <color theme="0"/>
                </left>
                <right style="thin">
                  <color theme="0"/>
                </right>
                <top style="thin">
                  <color theme="0"/>
                </top>
                <bottom style="thin">
                  <color theme="0"/>
                </bottom>
                <vertical/>
                <horizontal/>
              </border>
            </x14:dxf>
          </x14:cfRule>
          <xm:sqref>N151:N152</xm:sqref>
        </x14:conditionalFormatting>
        <x14:conditionalFormatting xmlns:xm="http://schemas.microsoft.com/office/excel/2006/main">
          <x14:cfRule type="expression" priority="1697" id="{39095236-53C3-4F3D-950B-C36B50CD6384}">
            <xm:f>$Z$8='Assessment Details'!$Q$23</xm:f>
            <x14:dxf>
              <font>
                <color theme="0"/>
              </font>
              <fill>
                <patternFill>
                  <bgColor theme="0"/>
                </patternFill>
              </fill>
            </x14:dxf>
          </x14:cfRule>
          <xm:sqref>X150:Y152</xm:sqref>
        </x14:conditionalFormatting>
        <x14:conditionalFormatting xmlns:xm="http://schemas.microsoft.com/office/excel/2006/main">
          <x14:cfRule type="expression" priority="1696" id="{8FF76635-9554-4CD4-B092-34C9BF80048C}">
            <xm:f>$Z$8='Assessment Details'!$Q$23</xm:f>
            <x14:dxf>
              <border>
                <left style="thin">
                  <color theme="0"/>
                </left>
                <right style="thin">
                  <color theme="0"/>
                </right>
                <top style="thin">
                  <color theme="0"/>
                </top>
                <bottom style="thin">
                  <color theme="0"/>
                </bottom>
                <vertical/>
                <horizontal/>
              </border>
            </x14:dxf>
          </x14:cfRule>
          <xm:sqref>X150:Y152</xm:sqref>
        </x14:conditionalFormatting>
        <x14:conditionalFormatting xmlns:xm="http://schemas.microsoft.com/office/excel/2006/main">
          <x14:cfRule type="expression" priority="1682" id="{D587C718-D0FA-4E96-9278-638905D4A4F8}">
            <xm:f>$Z$8='Assessment Details'!$Q$23</xm:f>
            <x14:dxf>
              <font>
                <color theme="0"/>
              </font>
              <fill>
                <patternFill>
                  <bgColor theme="0"/>
                </patternFill>
              </fill>
            </x14:dxf>
          </x14:cfRule>
          <xm:sqref>U151:U152</xm:sqref>
        </x14:conditionalFormatting>
        <x14:conditionalFormatting xmlns:xm="http://schemas.microsoft.com/office/excel/2006/main">
          <x14:cfRule type="expression" priority="1681" id="{4AD8FE10-2A04-439F-A3D7-D849B225CA6B}">
            <xm:f>$Z$8='Assessment Details'!$Q$23</xm:f>
            <x14:dxf>
              <border>
                <left style="thin">
                  <color theme="0"/>
                </left>
                <right style="thin">
                  <color theme="0"/>
                </right>
                <top style="thin">
                  <color theme="0"/>
                </top>
                <bottom style="thin">
                  <color theme="0"/>
                </bottom>
                <vertical/>
                <horizontal/>
              </border>
            </x14:dxf>
          </x14:cfRule>
          <xm:sqref>U151:U152</xm:sqref>
        </x14:conditionalFormatting>
        <x14:conditionalFormatting xmlns:xm="http://schemas.microsoft.com/office/excel/2006/main">
          <x14:cfRule type="expression" priority="1670" id="{8111D68C-ED4E-4E20-A6EF-766488248D03}">
            <xm:f>$S$8='Assessment Details'!$Q$23</xm:f>
            <x14:dxf>
              <font>
                <color theme="0"/>
              </font>
              <fill>
                <patternFill>
                  <bgColor theme="0"/>
                </patternFill>
              </fill>
              <border>
                <vertical/>
                <horizontal/>
              </border>
            </x14:dxf>
          </x14:cfRule>
          <xm:sqref>N155</xm:sqref>
        </x14:conditionalFormatting>
        <x14:conditionalFormatting xmlns:xm="http://schemas.microsoft.com/office/excel/2006/main">
          <x14:cfRule type="expression" priority="1669" id="{94DD3C6F-C113-46B5-9523-B3A9F444C760}">
            <xm:f>$S$8='Assessment Details'!$Q$23</xm:f>
            <x14:dxf>
              <border>
                <left style="thin">
                  <color theme="0"/>
                </left>
                <right style="thin">
                  <color theme="0"/>
                </right>
                <top style="thin">
                  <color theme="0"/>
                </top>
                <bottom style="thin">
                  <color theme="0"/>
                </bottom>
                <vertical/>
                <horizontal/>
              </border>
            </x14:dxf>
          </x14:cfRule>
          <xm:sqref>N155</xm:sqref>
        </x14:conditionalFormatting>
        <x14:conditionalFormatting xmlns:xm="http://schemas.microsoft.com/office/excel/2006/main">
          <x14:cfRule type="expression" priority="1668" id="{14EBF0E0-11D4-4858-AE0C-B018D8C3BE5D}">
            <xm:f>$Z$8='Assessment Details'!$Q$23</xm:f>
            <x14:dxf>
              <font>
                <color theme="0"/>
              </font>
              <fill>
                <patternFill>
                  <bgColor theme="0"/>
                </patternFill>
              </fill>
            </x14:dxf>
          </x14:cfRule>
          <xm:sqref>X155:Y155</xm:sqref>
        </x14:conditionalFormatting>
        <x14:conditionalFormatting xmlns:xm="http://schemas.microsoft.com/office/excel/2006/main">
          <x14:cfRule type="expression" priority="1667" id="{410E04A5-9E98-42E7-9FF9-FD96BDFC383F}">
            <xm:f>$Z$8='Assessment Details'!$Q$23</xm:f>
            <x14:dxf>
              <border>
                <left style="thin">
                  <color theme="0"/>
                </left>
                <right style="thin">
                  <color theme="0"/>
                </right>
                <top style="thin">
                  <color theme="0"/>
                </top>
                <bottom style="thin">
                  <color theme="0"/>
                </bottom>
                <vertical/>
                <horizontal/>
              </border>
            </x14:dxf>
          </x14:cfRule>
          <xm:sqref>X155:Y155</xm:sqref>
        </x14:conditionalFormatting>
        <x14:conditionalFormatting xmlns:xm="http://schemas.microsoft.com/office/excel/2006/main">
          <x14:cfRule type="expression" priority="1653" id="{EFD004EF-0AD9-4C0E-A482-FE351BFD77E4}">
            <xm:f>$Z$8='Assessment Details'!$Q$23</xm:f>
            <x14:dxf>
              <font>
                <color theme="0"/>
              </font>
              <fill>
                <patternFill>
                  <bgColor theme="0"/>
                </patternFill>
              </fill>
            </x14:dxf>
          </x14:cfRule>
          <xm:sqref>U155</xm:sqref>
        </x14:conditionalFormatting>
        <x14:conditionalFormatting xmlns:xm="http://schemas.microsoft.com/office/excel/2006/main">
          <x14:cfRule type="expression" priority="1652" id="{C9BE59CD-01E6-4E04-81D4-CC65C596A545}">
            <xm:f>$Z$8='Assessment Details'!$Q$23</xm:f>
            <x14:dxf>
              <border>
                <left style="thin">
                  <color theme="0"/>
                </left>
                <right style="thin">
                  <color theme="0"/>
                </right>
                <top style="thin">
                  <color theme="0"/>
                </top>
                <bottom style="thin">
                  <color theme="0"/>
                </bottom>
                <vertical/>
                <horizontal/>
              </border>
            </x14:dxf>
          </x14:cfRule>
          <xm:sqref>U155</xm:sqref>
        </x14:conditionalFormatting>
        <x14:conditionalFormatting xmlns:xm="http://schemas.microsoft.com/office/excel/2006/main">
          <x14:cfRule type="expression" priority="1641" id="{E93C857C-28FB-4390-B46A-FF8DF2C14CA9}">
            <xm:f>$S$8='Assessment Details'!$Q$23</xm:f>
            <x14:dxf>
              <font>
                <color theme="0"/>
              </font>
              <fill>
                <patternFill>
                  <bgColor theme="0"/>
                </patternFill>
              </fill>
              <border>
                <vertical/>
                <horizontal/>
              </border>
            </x14:dxf>
          </x14:cfRule>
          <xm:sqref>N157</xm:sqref>
        </x14:conditionalFormatting>
        <x14:conditionalFormatting xmlns:xm="http://schemas.microsoft.com/office/excel/2006/main">
          <x14:cfRule type="expression" priority="1640" id="{FB83C662-E61F-403A-B5C3-A775A006BD5A}">
            <xm:f>$S$8='Assessment Details'!$Q$23</xm:f>
            <x14:dxf>
              <border>
                <left style="thin">
                  <color theme="0"/>
                </left>
                <right style="thin">
                  <color theme="0"/>
                </right>
                <top style="thin">
                  <color theme="0"/>
                </top>
                <bottom style="thin">
                  <color theme="0"/>
                </bottom>
                <vertical/>
                <horizontal/>
              </border>
            </x14:dxf>
          </x14:cfRule>
          <xm:sqref>N157</xm:sqref>
        </x14:conditionalFormatting>
        <x14:conditionalFormatting xmlns:xm="http://schemas.microsoft.com/office/excel/2006/main">
          <x14:cfRule type="expression" priority="1639" id="{33A6284F-614F-4C7F-B72F-847D6D3039AD}">
            <xm:f>$Z$8='Assessment Details'!$Q$23</xm:f>
            <x14:dxf>
              <font>
                <color theme="0"/>
              </font>
              <fill>
                <patternFill>
                  <bgColor theme="0"/>
                </patternFill>
              </fill>
            </x14:dxf>
          </x14:cfRule>
          <xm:sqref>X157:Y157</xm:sqref>
        </x14:conditionalFormatting>
        <x14:conditionalFormatting xmlns:xm="http://schemas.microsoft.com/office/excel/2006/main">
          <x14:cfRule type="expression" priority="1638" id="{7029ABC3-A3B5-4C44-9CDE-266B9BDFB425}">
            <xm:f>$Z$8='Assessment Details'!$Q$23</xm:f>
            <x14:dxf>
              <border>
                <left style="thin">
                  <color theme="0"/>
                </left>
                <right style="thin">
                  <color theme="0"/>
                </right>
                <top style="thin">
                  <color theme="0"/>
                </top>
                <bottom style="thin">
                  <color theme="0"/>
                </bottom>
                <vertical/>
                <horizontal/>
              </border>
            </x14:dxf>
          </x14:cfRule>
          <xm:sqref>X157:Y157</xm:sqref>
        </x14:conditionalFormatting>
        <x14:conditionalFormatting xmlns:xm="http://schemas.microsoft.com/office/excel/2006/main">
          <x14:cfRule type="expression" priority="1624" id="{505F3318-0C46-4E24-842E-54A82A74FDB0}">
            <xm:f>$Z$8='Assessment Details'!$Q$23</xm:f>
            <x14:dxf>
              <font>
                <color theme="0"/>
              </font>
              <fill>
                <patternFill>
                  <bgColor theme="0"/>
                </patternFill>
              </fill>
            </x14:dxf>
          </x14:cfRule>
          <xm:sqref>U157</xm:sqref>
        </x14:conditionalFormatting>
        <x14:conditionalFormatting xmlns:xm="http://schemas.microsoft.com/office/excel/2006/main">
          <x14:cfRule type="expression" priority="1623" id="{A6A933DF-C393-4F14-9D8E-B37AEA7D3CB9}">
            <xm:f>$Z$8='Assessment Details'!$Q$23</xm:f>
            <x14:dxf>
              <border>
                <left style="thin">
                  <color theme="0"/>
                </left>
                <right style="thin">
                  <color theme="0"/>
                </right>
                <top style="thin">
                  <color theme="0"/>
                </top>
                <bottom style="thin">
                  <color theme="0"/>
                </bottom>
                <vertical/>
                <horizontal/>
              </border>
            </x14:dxf>
          </x14:cfRule>
          <xm:sqref>U157</xm:sqref>
        </x14:conditionalFormatting>
        <x14:conditionalFormatting xmlns:xm="http://schemas.microsoft.com/office/excel/2006/main">
          <x14:cfRule type="expression" priority="1612" id="{B5BAF25E-EFB2-4473-9E7D-9B148D482A30}">
            <xm:f>$S$8='Assessment Details'!$Q$23</xm:f>
            <x14:dxf>
              <font>
                <color theme="0"/>
              </font>
              <fill>
                <patternFill>
                  <bgColor theme="0"/>
                </patternFill>
              </fill>
              <border>
                <vertical/>
                <horizontal/>
              </border>
            </x14:dxf>
          </x14:cfRule>
          <xm:sqref>N159</xm:sqref>
        </x14:conditionalFormatting>
        <x14:conditionalFormatting xmlns:xm="http://schemas.microsoft.com/office/excel/2006/main">
          <x14:cfRule type="expression" priority="1611" id="{C3B1ECA9-75EA-4F8E-A27C-14108B7F0209}">
            <xm:f>$S$8='Assessment Details'!$Q$23</xm:f>
            <x14:dxf>
              <border>
                <left style="thin">
                  <color theme="0"/>
                </left>
                <right style="thin">
                  <color theme="0"/>
                </right>
                <top style="thin">
                  <color theme="0"/>
                </top>
                <bottom style="thin">
                  <color theme="0"/>
                </bottom>
                <vertical/>
                <horizontal/>
              </border>
            </x14:dxf>
          </x14:cfRule>
          <xm:sqref>N159</xm:sqref>
        </x14:conditionalFormatting>
        <x14:conditionalFormatting xmlns:xm="http://schemas.microsoft.com/office/excel/2006/main">
          <x14:cfRule type="expression" priority="1610" id="{FAD0F942-33DA-46B1-AC40-39F2D6CB26A2}">
            <xm:f>$Z$8='Assessment Details'!$Q$23</xm:f>
            <x14:dxf>
              <font>
                <color theme="0"/>
              </font>
              <fill>
                <patternFill>
                  <bgColor theme="0"/>
                </patternFill>
              </fill>
            </x14:dxf>
          </x14:cfRule>
          <xm:sqref>X159:Y159</xm:sqref>
        </x14:conditionalFormatting>
        <x14:conditionalFormatting xmlns:xm="http://schemas.microsoft.com/office/excel/2006/main">
          <x14:cfRule type="expression" priority="1609" id="{D95FB0B0-9E07-42C2-843E-F1D49A42E140}">
            <xm:f>$Z$8='Assessment Details'!$Q$23</xm:f>
            <x14:dxf>
              <border>
                <left style="thin">
                  <color theme="0"/>
                </left>
                <right style="thin">
                  <color theme="0"/>
                </right>
                <top style="thin">
                  <color theme="0"/>
                </top>
                <bottom style="thin">
                  <color theme="0"/>
                </bottom>
                <vertical/>
                <horizontal/>
              </border>
            </x14:dxf>
          </x14:cfRule>
          <xm:sqref>X159:Y159</xm:sqref>
        </x14:conditionalFormatting>
        <x14:conditionalFormatting xmlns:xm="http://schemas.microsoft.com/office/excel/2006/main">
          <x14:cfRule type="expression" priority="1595" id="{1706D565-566F-42D6-BAE3-C0C23E307B68}">
            <xm:f>$Z$8='Assessment Details'!$Q$23</xm:f>
            <x14:dxf>
              <font>
                <color theme="0"/>
              </font>
              <fill>
                <patternFill>
                  <bgColor theme="0"/>
                </patternFill>
              </fill>
            </x14:dxf>
          </x14:cfRule>
          <xm:sqref>U159</xm:sqref>
        </x14:conditionalFormatting>
        <x14:conditionalFormatting xmlns:xm="http://schemas.microsoft.com/office/excel/2006/main">
          <x14:cfRule type="expression" priority="1594" id="{21586835-502C-4CFF-AF49-D460AAC12459}">
            <xm:f>$Z$8='Assessment Details'!$Q$23</xm:f>
            <x14:dxf>
              <border>
                <left style="thin">
                  <color theme="0"/>
                </left>
                <right style="thin">
                  <color theme="0"/>
                </right>
                <top style="thin">
                  <color theme="0"/>
                </top>
                <bottom style="thin">
                  <color theme="0"/>
                </bottom>
                <vertical/>
                <horizontal/>
              </border>
            </x14:dxf>
          </x14:cfRule>
          <xm:sqref>U159</xm:sqref>
        </x14:conditionalFormatting>
        <x14:conditionalFormatting xmlns:xm="http://schemas.microsoft.com/office/excel/2006/main">
          <x14:cfRule type="expression" priority="1583" id="{FC4F7586-A157-4352-848C-21918EE781A5}">
            <xm:f>$S$8='Assessment Details'!$Q$23</xm:f>
            <x14:dxf>
              <font>
                <color theme="0"/>
              </font>
              <fill>
                <patternFill>
                  <bgColor theme="0"/>
                </patternFill>
              </fill>
              <border>
                <vertical/>
                <horizontal/>
              </border>
            </x14:dxf>
          </x14:cfRule>
          <xm:sqref>N164</xm:sqref>
        </x14:conditionalFormatting>
        <x14:conditionalFormatting xmlns:xm="http://schemas.microsoft.com/office/excel/2006/main">
          <x14:cfRule type="expression" priority="1582" id="{BE8FA228-D559-43BF-B3AC-678B93E9A11F}">
            <xm:f>$S$8='Assessment Details'!$Q$23</xm:f>
            <x14:dxf>
              <border>
                <left style="thin">
                  <color theme="0"/>
                </left>
                <right style="thin">
                  <color theme="0"/>
                </right>
                <top style="thin">
                  <color theme="0"/>
                </top>
                <bottom style="thin">
                  <color theme="0"/>
                </bottom>
                <vertical/>
                <horizontal/>
              </border>
            </x14:dxf>
          </x14:cfRule>
          <xm:sqref>N164</xm:sqref>
        </x14:conditionalFormatting>
        <x14:conditionalFormatting xmlns:xm="http://schemas.microsoft.com/office/excel/2006/main">
          <x14:cfRule type="expression" priority="1581" id="{EC14D7BD-E844-4979-B380-D8772CD6DCDB}">
            <xm:f>$Z$8='Assessment Details'!$Q$23</xm:f>
            <x14:dxf>
              <font>
                <color theme="0"/>
              </font>
              <fill>
                <patternFill>
                  <bgColor theme="0"/>
                </patternFill>
              </fill>
            </x14:dxf>
          </x14:cfRule>
          <xm:sqref>X164:Y164</xm:sqref>
        </x14:conditionalFormatting>
        <x14:conditionalFormatting xmlns:xm="http://schemas.microsoft.com/office/excel/2006/main">
          <x14:cfRule type="expression" priority="1580" id="{0235C1C1-06F0-430A-88CE-9E126B07233B}">
            <xm:f>$Z$8='Assessment Details'!$Q$23</xm:f>
            <x14:dxf>
              <border>
                <left style="thin">
                  <color theme="0"/>
                </left>
                <right style="thin">
                  <color theme="0"/>
                </right>
                <top style="thin">
                  <color theme="0"/>
                </top>
                <bottom style="thin">
                  <color theme="0"/>
                </bottom>
                <vertical/>
                <horizontal/>
              </border>
            </x14:dxf>
          </x14:cfRule>
          <xm:sqref>X164:Y164</xm:sqref>
        </x14:conditionalFormatting>
        <x14:conditionalFormatting xmlns:xm="http://schemas.microsoft.com/office/excel/2006/main">
          <x14:cfRule type="expression" priority="1566" id="{69741BF6-D994-441F-9F31-4EBB94ECF11F}">
            <xm:f>$Z$8='Assessment Details'!$Q$23</xm:f>
            <x14:dxf>
              <font>
                <color theme="0"/>
              </font>
              <fill>
                <patternFill>
                  <bgColor theme="0"/>
                </patternFill>
              </fill>
            </x14:dxf>
          </x14:cfRule>
          <xm:sqref>U164</xm:sqref>
        </x14:conditionalFormatting>
        <x14:conditionalFormatting xmlns:xm="http://schemas.microsoft.com/office/excel/2006/main">
          <x14:cfRule type="expression" priority="1565" id="{02E4BBE7-B240-4F9F-BBBB-942D574B4AA0}">
            <xm:f>$Z$8='Assessment Details'!$Q$23</xm:f>
            <x14:dxf>
              <border>
                <left style="thin">
                  <color theme="0"/>
                </left>
                <right style="thin">
                  <color theme="0"/>
                </right>
                <top style="thin">
                  <color theme="0"/>
                </top>
                <bottom style="thin">
                  <color theme="0"/>
                </bottom>
                <vertical/>
                <horizontal/>
              </border>
            </x14:dxf>
          </x14:cfRule>
          <xm:sqref>U164</xm:sqref>
        </x14:conditionalFormatting>
        <x14:conditionalFormatting xmlns:xm="http://schemas.microsoft.com/office/excel/2006/main">
          <x14:cfRule type="expression" priority="1554" id="{EDF6CD3E-34CB-41A5-AB94-6E33CD81E4C7}">
            <xm:f>$S$8='Assessment Details'!$Q$23</xm:f>
            <x14:dxf>
              <font>
                <color theme="0"/>
              </font>
              <fill>
                <patternFill>
                  <bgColor theme="0"/>
                </patternFill>
              </fill>
              <border>
                <vertical/>
                <horizontal/>
              </border>
            </x14:dxf>
          </x14:cfRule>
          <xm:sqref>N168:N169</xm:sqref>
        </x14:conditionalFormatting>
        <x14:conditionalFormatting xmlns:xm="http://schemas.microsoft.com/office/excel/2006/main">
          <x14:cfRule type="expression" priority="1553" id="{4165ED7D-D562-4D22-A6D6-5BBBB0C0E736}">
            <xm:f>$S$8='Assessment Details'!$Q$23</xm:f>
            <x14:dxf>
              <border>
                <left style="thin">
                  <color theme="0"/>
                </left>
                <right style="thin">
                  <color theme="0"/>
                </right>
                <top style="thin">
                  <color theme="0"/>
                </top>
                <bottom style="thin">
                  <color theme="0"/>
                </bottom>
                <vertical/>
                <horizontal/>
              </border>
            </x14:dxf>
          </x14:cfRule>
          <xm:sqref>N168:N169</xm:sqref>
        </x14:conditionalFormatting>
        <x14:conditionalFormatting xmlns:xm="http://schemas.microsoft.com/office/excel/2006/main">
          <x14:cfRule type="expression" priority="1552" id="{F83DBC8E-67E7-43CC-80AB-0026E89AC9CE}">
            <xm:f>$Z$8='Assessment Details'!$Q$23</xm:f>
            <x14:dxf>
              <font>
                <color theme="0"/>
              </font>
              <fill>
                <patternFill>
                  <bgColor theme="0"/>
                </patternFill>
              </fill>
            </x14:dxf>
          </x14:cfRule>
          <xm:sqref>X167:Y169</xm:sqref>
        </x14:conditionalFormatting>
        <x14:conditionalFormatting xmlns:xm="http://schemas.microsoft.com/office/excel/2006/main">
          <x14:cfRule type="expression" priority="1551" id="{C8492064-65F4-49FD-9B25-FC1139F0E4C2}">
            <xm:f>$Z$8='Assessment Details'!$Q$23</xm:f>
            <x14:dxf>
              <border>
                <left style="thin">
                  <color theme="0"/>
                </left>
                <right style="thin">
                  <color theme="0"/>
                </right>
                <top style="thin">
                  <color theme="0"/>
                </top>
                <bottom style="thin">
                  <color theme="0"/>
                </bottom>
                <vertical/>
                <horizontal/>
              </border>
            </x14:dxf>
          </x14:cfRule>
          <xm:sqref>X167:Y169</xm:sqref>
        </x14:conditionalFormatting>
        <x14:conditionalFormatting xmlns:xm="http://schemas.microsoft.com/office/excel/2006/main">
          <x14:cfRule type="expression" priority="1537" id="{025FCD9C-6EC2-4741-BAEA-95D9F8820B1F}">
            <xm:f>$Z$8='Assessment Details'!$Q$23</xm:f>
            <x14:dxf>
              <font>
                <color theme="0"/>
              </font>
              <fill>
                <patternFill>
                  <bgColor theme="0"/>
                </patternFill>
              </fill>
            </x14:dxf>
          </x14:cfRule>
          <xm:sqref>U168:U169</xm:sqref>
        </x14:conditionalFormatting>
        <x14:conditionalFormatting xmlns:xm="http://schemas.microsoft.com/office/excel/2006/main">
          <x14:cfRule type="expression" priority="1536" id="{02EDE805-E77B-4339-9098-9C92ADDA184E}">
            <xm:f>$Z$8='Assessment Details'!$Q$23</xm:f>
            <x14:dxf>
              <border>
                <left style="thin">
                  <color theme="0"/>
                </left>
                <right style="thin">
                  <color theme="0"/>
                </right>
                <top style="thin">
                  <color theme="0"/>
                </top>
                <bottom style="thin">
                  <color theme="0"/>
                </bottom>
                <vertical/>
                <horizontal/>
              </border>
            </x14:dxf>
          </x14:cfRule>
          <xm:sqref>U168:U169</xm:sqref>
        </x14:conditionalFormatting>
        <x14:conditionalFormatting xmlns:xm="http://schemas.microsoft.com/office/excel/2006/main">
          <x14:cfRule type="expression" priority="1525" id="{3D1E988D-03DD-499C-BF68-CF1240BEC228}">
            <xm:f>$S$8='Assessment Details'!$Q$23</xm:f>
            <x14:dxf>
              <font>
                <color theme="0"/>
              </font>
              <fill>
                <patternFill>
                  <bgColor theme="0"/>
                </patternFill>
              </fill>
              <border>
                <vertical/>
                <horizontal/>
              </border>
            </x14:dxf>
          </x14:cfRule>
          <xm:sqref>N171:N172</xm:sqref>
        </x14:conditionalFormatting>
        <x14:conditionalFormatting xmlns:xm="http://schemas.microsoft.com/office/excel/2006/main">
          <x14:cfRule type="expression" priority="1524" id="{FEA7069D-5280-4A3C-A382-371BE113ED55}">
            <xm:f>$S$8='Assessment Details'!$Q$23</xm:f>
            <x14:dxf>
              <border>
                <left style="thin">
                  <color theme="0"/>
                </left>
                <right style="thin">
                  <color theme="0"/>
                </right>
                <top style="thin">
                  <color theme="0"/>
                </top>
                <bottom style="thin">
                  <color theme="0"/>
                </bottom>
                <vertical/>
                <horizontal/>
              </border>
            </x14:dxf>
          </x14:cfRule>
          <xm:sqref>N171:N172</xm:sqref>
        </x14:conditionalFormatting>
        <x14:conditionalFormatting xmlns:xm="http://schemas.microsoft.com/office/excel/2006/main">
          <x14:cfRule type="expression" priority="1508" id="{84F84A84-D28C-4541-BF15-E652C7765B65}">
            <xm:f>$Z$8='Assessment Details'!$Q$23</xm:f>
            <x14:dxf>
              <font>
                <color theme="0"/>
              </font>
              <fill>
                <patternFill>
                  <bgColor theme="0"/>
                </patternFill>
              </fill>
            </x14:dxf>
          </x14:cfRule>
          <xm:sqref>U171:U172</xm:sqref>
        </x14:conditionalFormatting>
        <x14:conditionalFormatting xmlns:xm="http://schemas.microsoft.com/office/excel/2006/main">
          <x14:cfRule type="expression" priority="1507" id="{7B46AC8A-3833-42E8-83A3-338992A82C94}">
            <xm:f>$Z$8='Assessment Details'!$Q$23</xm:f>
            <x14:dxf>
              <border>
                <left style="thin">
                  <color theme="0"/>
                </left>
                <right style="thin">
                  <color theme="0"/>
                </right>
                <top style="thin">
                  <color theme="0"/>
                </top>
                <bottom style="thin">
                  <color theme="0"/>
                </bottom>
                <vertical/>
                <horizontal/>
              </border>
            </x14:dxf>
          </x14:cfRule>
          <xm:sqref>U171:U172</xm:sqref>
        </x14:conditionalFormatting>
        <x14:conditionalFormatting xmlns:xm="http://schemas.microsoft.com/office/excel/2006/main">
          <x14:cfRule type="expression" priority="1496" id="{BCBDE68D-5C79-4E40-A8E9-299017800141}">
            <xm:f>$S$8='Assessment Details'!$Q$23</xm:f>
            <x14:dxf>
              <font>
                <color theme="0"/>
              </font>
              <fill>
                <patternFill>
                  <bgColor theme="0"/>
                </patternFill>
              </fill>
              <border>
                <vertical/>
                <horizontal/>
              </border>
            </x14:dxf>
          </x14:cfRule>
          <xm:sqref>N175:N176</xm:sqref>
        </x14:conditionalFormatting>
        <x14:conditionalFormatting xmlns:xm="http://schemas.microsoft.com/office/excel/2006/main">
          <x14:cfRule type="expression" priority="1495" id="{F639A87B-C88A-4C53-9078-FA0725954127}">
            <xm:f>$S$8='Assessment Details'!$Q$23</xm:f>
            <x14:dxf>
              <border>
                <left style="thin">
                  <color theme="0"/>
                </left>
                <right style="thin">
                  <color theme="0"/>
                </right>
                <top style="thin">
                  <color theme="0"/>
                </top>
                <bottom style="thin">
                  <color theme="0"/>
                </bottom>
                <vertical/>
                <horizontal/>
              </border>
            </x14:dxf>
          </x14:cfRule>
          <xm:sqref>N175:N176</xm:sqref>
        </x14:conditionalFormatting>
        <x14:conditionalFormatting xmlns:xm="http://schemas.microsoft.com/office/excel/2006/main">
          <x14:cfRule type="expression" priority="1494" id="{A521E0BB-96A0-44B1-9940-4AFB6590279F}">
            <xm:f>$Z$8='Assessment Details'!$Q$23</xm:f>
            <x14:dxf>
              <font>
                <color theme="0"/>
              </font>
              <fill>
                <patternFill>
                  <bgColor theme="0"/>
                </patternFill>
              </fill>
            </x14:dxf>
          </x14:cfRule>
          <xm:sqref>X174:Y176</xm:sqref>
        </x14:conditionalFormatting>
        <x14:conditionalFormatting xmlns:xm="http://schemas.microsoft.com/office/excel/2006/main">
          <x14:cfRule type="expression" priority="1493" id="{B4363687-7932-4F7E-886B-EF390D51CCD1}">
            <xm:f>$Z$8='Assessment Details'!$Q$23</xm:f>
            <x14:dxf>
              <border>
                <left style="thin">
                  <color theme="0"/>
                </left>
                <right style="thin">
                  <color theme="0"/>
                </right>
                <top style="thin">
                  <color theme="0"/>
                </top>
                <bottom style="thin">
                  <color theme="0"/>
                </bottom>
                <vertical/>
                <horizontal/>
              </border>
            </x14:dxf>
          </x14:cfRule>
          <xm:sqref>X174:Y176</xm:sqref>
        </x14:conditionalFormatting>
        <x14:conditionalFormatting xmlns:xm="http://schemas.microsoft.com/office/excel/2006/main">
          <x14:cfRule type="expression" priority="1479" id="{8A2EF026-7281-4B89-ACE1-B4C4019A2A77}">
            <xm:f>$Z$8='Assessment Details'!$Q$23</xm:f>
            <x14:dxf>
              <font>
                <color theme="0"/>
              </font>
              <fill>
                <patternFill>
                  <bgColor theme="0"/>
                </patternFill>
              </fill>
            </x14:dxf>
          </x14:cfRule>
          <xm:sqref>U175:U176</xm:sqref>
        </x14:conditionalFormatting>
        <x14:conditionalFormatting xmlns:xm="http://schemas.microsoft.com/office/excel/2006/main">
          <x14:cfRule type="expression" priority="1478" id="{A8B954CC-158D-484A-816B-BD9CF8639B81}">
            <xm:f>$Z$8='Assessment Details'!$Q$23</xm:f>
            <x14:dxf>
              <border>
                <left style="thin">
                  <color theme="0"/>
                </left>
                <right style="thin">
                  <color theme="0"/>
                </right>
                <top style="thin">
                  <color theme="0"/>
                </top>
                <bottom style="thin">
                  <color theme="0"/>
                </bottom>
                <vertical/>
                <horizontal/>
              </border>
            </x14:dxf>
          </x14:cfRule>
          <xm:sqref>U175:U176</xm:sqref>
        </x14:conditionalFormatting>
        <x14:conditionalFormatting xmlns:xm="http://schemas.microsoft.com/office/excel/2006/main">
          <x14:cfRule type="expression" priority="1467" id="{0841C3A7-48E6-4EF1-8BD3-2A7D424CCA2D}">
            <xm:f>$S$8='Assessment Details'!$Q$23</xm:f>
            <x14:dxf>
              <font>
                <color theme="0"/>
              </font>
              <fill>
                <patternFill>
                  <bgColor theme="0"/>
                </patternFill>
              </fill>
              <border>
                <vertical/>
                <horizontal/>
              </border>
            </x14:dxf>
          </x14:cfRule>
          <xm:sqref>N179:N180</xm:sqref>
        </x14:conditionalFormatting>
        <x14:conditionalFormatting xmlns:xm="http://schemas.microsoft.com/office/excel/2006/main">
          <x14:cfRule type="expression" priority="1466" id="{47373EDA-C443-45B9-8151-C85D11428738}">
            <xm:f>$S$8='Assessment Details'!$Q$23</xm:f>
            <x14:dxf>
              <border>
                <left style="thin">
                  <color theme="0"/>
                </left>
                <right style="thin">
                  <color theme="0"/>
                </right>
                <top style="thin">
                  <color theme="0"/>
                </top>
                <bottom style="thin">
                  <color theme="0"/>
                </bottom>
                <vertical/>
                <horizontal/>
              </border>
            </x14:dxf>
          </x14:cfRule>
          <xm:sqref>N179:N180</xm:sqref>
        </x14:conditionalFormatting>
        <x14:conditionalFormatting xmlns:xm="http://schemas.microsoft.com/office/excel/2006/main">
          <x14:cfRule type="expression" priority="1465" id="{89B486E7-ED01-4277-90ED-A95F4EC43ABD}">
            <xm:f>$Z$8='Assessment Details'!$Q$23</xm:f>
            <x14:dxf>
              <font>
                <color theme="0"/>
              </font>
              <fill>
                <patternFill>
                  <bgColor theme="0"/>
                </patternFill>
              </fill>
            </x14:dxf>
          </x14:cfRule>
          <xm:sqref>X178:Y180</xm:sqref>
        </x14:conditionalFormatting>
        <x14:conditionalFormatting xmlns:xm="http://schemas.microsoft.com/office/excel/2006/main">
          <x14:cfRule type="expression" priority="1464" id="{36E04BD1-C39C-4724-8F27-3B7345215037}">
            <xm:f>$Z$8='Assessment Details'!$Q$23</xm:f>
            <x14:dxf>
              <border>
                <left style="thin">
                  <color theme="0"/>
                </left>
                <right style="thin">
                  <color theme="0"/>
                </right>
                <top style="thin">
                  <color theme="0"/>
                </top>
                <bottom style="thin">
                  <color theme="0"/>
                </bottom>
                <vertical/>
                <horizontal/>
              </border>
            </x14:dxf>
          </x14:cfRule>
          <xm:sqref>X178:Y180</xm:sqref>
        </x14:conditionalFormatting>
        <x14:conditionalFormatting xmlns:xm="http://schemas.microsoft.com/office/excel/2006/main">
          <x14:cfRule type="expression" priority="1450" id="{F70FDA20-731E-4AF8-AFE8-7C3957D6DB58}">
            <xm:f>$Z$8='Assessment Details'!$Q$23</xm:f>
            <x14:dxf>
              <font>
                <color theme="0"/>
              </font>
              <fill>
                <patternFill>
                  <bgColor theme="0"/>
                </patternFill>
              </fill>
            </x14:dxf>
          </x14:cfRule>
          <xm:sqref>U179:U180</xm:sqref>
        </x14:conditionalFormatting>
        <x14:conditionalFormatting xmlns:xm="http://schemas.microsoft.com/office/excel/2006/main">
          <x14:cfRule type="expression" priority="1449" id="{90EF81F3-F7FF-48CC-BDA8-A145075B8D70}">
            <xm:f>$Z$8='Assessment Details'!$Q$23</xm:f>
            <x14:dxf>
              <border>
                <left style="thin">
                  <color theme="0"/>
                </left>
                <right style="thin">
                  <color theme="0"/>
                </right>
                <top style="thin">
                  <color theme="0"/>
                </top>
                <bottom style="thin">
                  <color theme="0"/>
                </bottom>
                <vertical/>
                <horizontal/>
              </border>
            </x14:dxf>
          </x14:cfRule>
          <xm:sqref>U179:U180</xm:sqref>
        </x14:conditionalFormatting>
        <x14:conditionalFormatting xmlns:xm="http://schemas.microsoft.com/office/excel/2006/main">
          <x14:cfRule type="expression" priority="1438" id="{E871B02C-4848-4F5F-92CF-340A21D6C286}">
            <xm:f>$S$8='Assessment Details'!$Q$23</xm:f>
            <x14:dxf>
              <font>
                <color theme="0"/>
              </font>
              <fill>
                <patternFill>
                  <bgColor theme="0"/>
                </patternFill>
              </fill>
              <border>
                <vertical/>
                <horizontal/>
              </border>
            </x14:dxf>
          </x14:cfRule>
          <xm:sqref>N182</xm:sqref>
        </x14:conditionalFormatting>
        <x14:conditionalFormatting xmlns:xm="http://schemas.microsoft.com/office/excel/2006/main">
          <x14:cfRule type="expression" priority="1437" id="{5B227801-2A9F-4CD2-92E4-A213D0C938B8}">
            <xm:f>$S$8='Assessment Details'!$Q$23</xm:f>
            <x14:dxf>
              <border>
                <left style="thin">
                  <color theme="0"/>
                </left>
                <right style="thin">
                  <color theme="0"/>
                </right>
                <top style="thin">
                  <color theme="0"/>
                </top>
                <bottom style="thin">
                  <color theme="0"/>
                </bottom>
                <vertical/>
                <horizontal/>
              </border>
            </x14:dxf>
          </x14:cfRule>
          <xm:sqref>N182</xm:sqref>
        </x14:conditionalFormatting>
        <x14:conditionalFormatting xmlns:xm="http://schemas.microsoft.com/office/excel/2006/main">
          <x14:cfRule type="expression" priority="1436" id="{E25EE285-D422-4F6A-B1DC-FD770294A9B3}">
            <xm:f>$Z$8='Assessment Details'!$Q$23</xm:f>
            <x14:dxf>
              <font>
                <color theme="0"/>
              </font>
              <fill>
                <patternFill>
                  <bgColor theme="0"/>
                </patternFill>
              </fill>
            </x14:dxf>
          </x14:cfRule>
          <xm:sqref>X182:Y182</xm:sqref>
        </x14:conditionalFormatting>
        <x14:conditionalFormatting xmlns:xm="http://schemas.microsoft.com/office/excel/2006/main">
          <x14:cfRule type="expression" priority="1435" id="{F016B8F4-5F99-46F2-82A2-602D0188A024}">
            <xm:f>$Z$8='Assessment Details'!$Q$23</xm:f>
            <x14:dxf>
              <border>
                <left style="thin">
                  <color theme="0"/>
                </left>
                <right style="thin">
                  <color theme="0"/>
                </right>
                <top style="thin">
                  <color theme="0"/>
                </top>
                <bottom style="thin">
                  <color theme="0"/>
                </bottom>
                <vertical/>
                <horizontal/>
              </border>
            </x14:dxf>
          </x14:cfRule>
          <xm:sqref>X182:Y182</xm:sqref>
        </x14:conditionalFormatting>
        <x14:conditionalFormatting xmlns:xm="http://schemas.microsoft.com/office/excel/2006/main">
          <x14:cfRule type="expression" priority="1421" id="{EC96F803-68EB-422C-85D3-F19E95C35C07}">
            <xm:f>$Z$8='Assessment Details'!$Q$23</xm:f>
            <x14:dxf>
              <font>
                <color theme="0"/>
              </font>
              <fill>
                <patternFill>
                  <bgColor theme="0"/>
                </patternFill>
              </fill>
            </x14:dxf>
          </x14:cfRule>
          <xm:sqref>U182</xm:sqref>
        </x14:conditionalFormatting>
        <x14:conditionalFormatting xmlns:xm="http://schemas.microsoft.com/office/excel/2006/main">
          <x14:cfRule type="expression" priority="1420" id="{5CFF3259-D6B5-403F-B1C7-61A200BA1D99}">
            <xm:f>$Z$8='Assessment Details'!$Q$23</xm:f>
            <x14:dxf>
              <border>
                <left style="thin">
                  <color theme="0"/>
                </left>
                <right style="thin">
                  <color theme="0"/>
                </right>
                <top style="thin">
                  <color theme="0"/>
                </top>
                <bottom style="thin">
                  <color theme="0"/>
                </bottom>
                <vertical/>
                <horizontal/>
              </border>
            </x14:dxf>
          </x14:cfRule>
          <xm:sqref>U182</xm:sqref>
        </x14:conditionalFormatting>
        <x14:conditionalFormatting xmlns:xm="http://schemas.microsoft.com/office/excel/2006/main">
          <x14:cfRule type="expression" priority="1409" id="{ADD3DFAA-D862-422F-9749-96EA4A90B76A}">
            <xm:f>$S$8='Assessment Details'!$Q$23</xm:f>
            <x14:dxf>
              <font>
                <color theme="0"/>
              </font>
              <fill>
                <patternFill>
                  <bgColor theme="0"/>
                </patternFill>
              </fill>
              <border>
                <vertical/>
                <horizontal/>
              </border>
            </x14:dxf>
          </x14:cfRule>
          <xm:sqref>N185</xm:sqref>
        </x14:conditionalFormatting>
        <x14:conditionalFormatting xmlns:xm="http://schemas.microsoft.com/office/excel/2006/main">
          <x14:cfRule type="expression" priority="1408" id="{B6AEE161-B105-452E-96A6-8641765D499B}">
            <xm:f>$S$8='Assessment Details'!$Q$23</xm:f>
            <x14:dxf>
              <border>
                <left style="thin">
                  <color theme="0"/>
                </left>
                <right style="thin">
                  <color theme="0"/>
                </right>
                <top style="thin">
                  <color theme="0"/>
                </top>
                <bottom style="thin">
                  <color theme="0"/>
                </bottom>
                <vertical/>
                <horizontal/>
              </border>
            </x14:dxf>
          </x14:cfRule>
          <xm:sqref>N185</xm:sqref>
        </x14:conditionalFormatting>
        <x14:conditionalFormatting xmlns:xm="http://schemas.microsoft.com/office/excel/2006/main">
          <x14:cfRule type="expression" priority="1407" id="{9AF9090A-A1EA-44E8-819A-714C5BE9399D}">
            <xm:f>$Z$8='Assessment Details'!$Q$23</xm:f>
            <x14:dxf>
              <font>
                <color theme="0"/>
              </font>
              <fill>
                <patternFill>
                  <bgColor theme="0"/>
                </patternFill>
              </fill>
            </x14:dxf>
          </x14:cfRule>
          <xm:sqref>X184:Y185</xm:sqref>
        </x14:conditionalFormatting>
        <x14:conditionalFormatting xmlns:xm="http://schemas.microsoft.com/office/excel/2006/main">
          <x14:cfRule type="expression" priority="1406" id="{4B4AE711-7F1F-459C-9292-6A6A78C33432}">
            <xm:f>$Z$8='Assessment Details'!$Q$23</xm:f>
            <x14:dxf>
              <border>
                <left style="thin">
                  <color theme="0"/>
                </left>
                <right style="thin">
                  <color theme="0"/>
                </right>
                <top style="thin">
                  <color theme="0"/>
                </top>
                <bottom style="thin">
                  <color theme="0"/>
                </bottom>
                <vertical/>
                <horizontal/>
              </border>
            </x14:dxf>
          </x14:cfRule>
          <xm:sqref>X184:Y185</xm:sqref>
        </x14:conditionalFormatting>
        <x14:conditionalFormatting xmlns:xm="http://schemas.microsoft.com/office/excel/2006/main">
          <x14:cfRule type="expression" priority="1392" id="{70F5CD5D-7755-4A45-89FE-FC8A883E6DC2}">
            <xm:f>$Z$8='Assessment Details'!$Q$23</xm:f>
            <x14:dxf>
              <font>
                <color theme="0"/>
              </font>
              <fill>
                <patternFill>
                  <bgColor theme="0"/>
                </patternFill>
              </fill>
            </x14:dxf>
          </x14:cfRule>
          <xm:sqref>U185</xm:sqref>
        </x14:conditionalFormatting>
        <x14:conditionalFormatting xmlns:xm="http://schemas.microsoft.com/office/excel/2006/main">
          <x14:cfRule type="expression" priority="1391" id="{51F44447-A560-4C68-AFA9-48659A9FC49A}">
            <xm:f>$Z$8='Assessment Details'!$Q$23</xm:f>
            <x14:dxf>
              <border>
                <left style="thin">
                  <color theme="0"/>
                </left>
                <right style="thin">
                  <color theme="0"/>
                </right>
                <top style="thin">
                  <color theme="0"/>
                </top>
                <bottom style="thin">
                  <color theme="0"/>
                </bottom>
                <vertical/>
                <horizontal/>
              </border>
            </x14:dxf>
          </x14:cfRule>
          <xm:sqref>U185</xm:sqref>
        </x14:conditionalFormatting>
        <x14:conditionalFormatting xmlns:xm="http://schemas.microsoft.com/office/excel/2006/main">
          <x14:cfRule type="expression" priority="1380" id="{3AFD6779-953D-424A-9968-4E7E05952675}">
            <xm:f>$S$8='Assessment Details'!$Q$23</xm:f>
            <x14:dxf>
              <font>
                <color theme="0"/>
              </font>
              <fill>
                <patternFill>
                  <bgColor theme="0"/>
                </patternFill>
              </fill>
              <border>
                <vertical/>
                <horizontal/>
              </border>
            </x14:dxf>
          </x14:cfRule>
          <xm:sqref>N188:N190</xm:sqref>
        </x14:conditionalFormatting>
        <x14:conditionalFormatting xmlns:xm="http://schemas.microsoft.com/office/excel/2006/main">
          <x14:cfRule type="expression" priority="1379" id="{0FB74762-1D3E-4B2F-BA18-E2EDB089150D}">
            <xm:f>$S$8='Assessment Details'!$Q$23</xm:f>
            <x14:dxf>
              <border>
                <left style="thin">
                  <color theme="0"/>
                </left>
                <right style="thin">
                  <color theme="0"/>
                </right>
                <top style="thin">
                  <color theme="0"/>
                </top>
                <bottom style="thin">
                  <color theme="0"/>
                </bottom>
                <vertical/>
                <horizontal/>
              </border>
            </x14:dxf>
          </x14:cfRule>
          <xm:sqref>N188:N190</xm:sqref>
        </x14:conditionalFormatting>
        <x14:conditionalFormatting xmlns:xm="http://schemas.microsoft.com/office/excel/2006/main">
          <x14:cfRule type="expression" priority="1378" id="{12FE712B-FA74-4B7D-9AE3-59C41D8B7D36}">
            <xm:f>$Z$8='Assessment Details'!$Q$23</xm:f>
            <x14:dxf>
              <font>
                <color theme="0"/>
              </font>
              <fill>
                <patternFill>
                  <bgColor theme="0"/>
                </patternFill>
              </fill>
            </x14:dxf>
          </x14:cfRule>
          <xm:sqref>X187:Y190</xm:sqref>
        </x14:conditionalFormatting>
        <x14:conditionalFormatting xmlns:xm="http://schemas.microsoft.com/office/excel/2006/main">
          <x14:cfRule type="expression" priority="1377" id="{E8B9DDCA-44DF-4858-BD32-C2B56BD428AC}">
            <xm:f>$Z$8='Assessment Details'!$Q$23</xm:f>
            <x14:dxf>
              <border>
                <left style="thin">
                  <color theme="0"/>
                </left>
                <right style="thin">
                  <color theme="0"/>
                </right>
                <top style="thin">
                  <color theme="0"/>
                </top>
                <bottom style="thin">
                  <color theme="0"/>
                </bottom>
                <vertical/>
                <horizontal/>
              </border>
            </x14:dxf>
          </x14:cfRule>
          <xm:sqref>X187:Y190</xm:sqref>
        </x14:conditionalFormatting>
        <x14:conditionalFormatting xmlns:xm="http://schemas.microsoft.com/office/excel/2006/main">
          <x14:cfRule type="expression" priority="1363" id="{9252695C-FA9D-4E90-99FE-9DC43D65F3D3}">
            <xm:f>$Z$8='Assessment Details'!$Q$23</xm:f>
            <x14:dxf>
              <font>
                <color theme="0"/>
              </font>
              <fill>
                <patternFill>
                  <bgColor theme="0"/>
                </patternFill>
              </fill>
            </x14:dxf>
          </x14:cfRule>
          <xm:sqref>U188:U190</xm:sqref>
        </x14:conditionalFormatting>
        <x14:conditionalFormatting xmlns:xm="http://schemas.microsoft.com/office/excel/2006/main">
          <x14:cfRule type="expression" priority="1362" id="{9CAC2D9D-4057-4AD9-A2F4-198BB19A971B}">
            <xm:f>$Z$8='Assessment Details'!$Q$23</xm:f>
            <x14:dxf>
              <border>
                <left style="thin">
                  <color theme="0"/>
                </left>
                <right style="thin">
                  <color theme="0"/>
                </right>
                <top style="thin">
                  <color theme="0"/>
                </top>
                <bottom style="thin">
                  <color theme="0"/>
                </bottom>
                <vertical/>
                <horizontal/>
              </border>
            </x14:dxf>
          </x14:cfRule>
          <xm:sqref>U188:U190</xm:sqref>
        </x14:conditionalFormatting>
        <x14:conditionalFormatting xmlns:xm="http://schemas.microsoft.com/office/excel/2006/main">
          <x14:cfRule type="expression" priority="1351" id="{B208A544-0E3C-4663-BA8B-0FD277FB4633}">
            <xm:f>$S$8='Assessment Details'!$Q$23</xm:f>
            <x14:dxf>
              <font>
                <color theme="0"/>
              </font>
              <fill>
                <patternFill>
                  <bgColor theme="0"/>
                </patternFill>
              </fill>
              <border>
                <vertical/>
                <horizontal/>
              </border>
            </x14:dxf>
          </x14:cfRule>
          <xm:sqref>N195</xm:sqref>
        </x14:conditionalFormatting>
        <x14:conditionalFormatting xmlns:xm="http://schemas.microsoft.com/office/excel/2006/main">
          <x14:cfRule type="expression" priority="1350" id="{54770062-B715-4AE7-AD74-84D67EC38AF3}">
            <xm:f>$S$8='Assessment Details'!$Q$23</xm:f>
            <x14:dxf>
              <border>
                <left style="thin">
                  <color theme="0"/>
                </left>
                <right style="thin">
                  <color theme="0"/>
                </right>
                <top style="thin">
                  <color theme="0"/>
                </top>
                <bottom style="thin">
                  <color theme="0"/>
                </bottom>
                <vertical/>
                <horizontal/>
              </border>
            </x14:dxf>
          </x14:cfRule>
          <xm:sqref>N195</xm:sqref>
        </x14:conditionalFormatting>
        <x14:conditionalFormatting xmlns:xm="http://schemas.microsoft.com/office/excel/2006/main">
          <x14:cfRule type="expression" priority="1349" id="{0ECEAA33-0EF7-4CA2-98BD-FC7068A6CCC7}">
            <xm:f>$Z$8='Assessment Details'!$Q$23</xm:f>
            <x14:dxf>
              <font>
                <color theme="0"/>
              </font>
              <fill>
                <patternFill>
                  <bgColor theme="0"/>
                </patternFill>
              </fill>
            </x14:dxf>
          </x14:cfRule>
          <xm:sqref>X195:Y195</xm:sqref>
        </x14:conditionalFormatting>
        <x14:conditionalFormatting xmlns:xm="http://schemas.microsoft.com/office/excel/2006/main">
          <x14:cfRule type="expression" priority="1348" id="{6348EF24-9E8A-43B3-83B4-BF7DAEF8577C}">
            <xm:f>$Z$8='Assessment Details'!$Q$23</xm:f>
            <x14:dxf>
              <border>
                <left style="thin">
                  <color theme="0"/>
                </left>
                <right style="thin">
                  <color theme="0"/>
                </right>
                <top style="thin">
                  <color theme="0"/>
                </top>
                <bottom style="thin">
                  <color theme="0"/>
                </bottom>
                <vertical/>
                <horizontal/>
              </border>
            </x14:dxf>
          </x14:cfRule>
          <xm:sqref>X195:Y195</xm:sqref>
        </x14:conditionalFormatting>
        <x14:conditionalFormatting xmlns:xm="http://schemas.microsoft.com/office/excel/2006/main">
          <x14:cfRule type="expression" priority="1334" id="{84D6D612-6AF0-4402-BF39-DFE97A33E5E8}">
            <xm:f>$Z$8='Assessment Details'!$Q$23</xm:f>
            <x14:dxf>
              <font>
                <color theme="0"/>
              </font>
              <fill>
                <patternFill>
                  <bgColor theme="0"/>
                </patternFill>
              </fill>
            </x14:dxf>
          </x14:cfRule>
          <xm:sqref>U195</xm:sqref>
        </x14:conditionalFormatting>
        <x14:conditionalFormatting xmlns:xm="http://schemas.microsoft.com/office/excel/2006/main">
          <x14:cfRule type="expression" priority="1333" id="{6AF589B5-841E-4955-967B-DDB6455B0222}">
            <xm:f>$Z$8='Assessment Details'!$Q$23</xm:f>
            <x14:dxf>
              <border>
                <left style="thin">
                  <color theme="0"/>
                </left>
                <right style="thin">
                  <color theme="0"/>
                </right>
                <top style="thin">
                  <color theme="0"/>
                </top>
                <bottom style="thin">
                  <color theme="0"/>
                </bottom>
                <vertical/>
                <horizontal/>
              </border>
            </x14:dxf>
          </x14:cfRule>
          <xm:sqref>U195</xm:sqref>
        </x14:conditionalFormatting>
        <x14:conditionalFormatting xmlns:xm="http://schemas.microsoft.com/office/excel/2006/main">
          <x14:cfRule type="expression" priority="1322" id="{680C9B30-37B3-4797-A8FC-161D3F09DDD1}">
            <xm:f>$S$8='Assessment Details'!$Q$23</xm:f>
            <x14:dxf>
              <font>
                <color theme="0"/>
              </font>
              <fill>
                <patternFill>
                  <bgColor theme="0"/>
                </patternFill>
              </fill>
              <border>
                <vertical/>
                <horizontal/>
              </border>
            </x14:dxf>
          </x14:cfRule>
          <xm:sqref>N200:N201</xm:sqref>
        </x14:conditionalFormatting>
        <x14:conditionalFormatting xmlns:xm="http://schemas.microsoft.com/office/excel/2006/main">
          <x14:cfRule type="expression" priority="1321" id="{AE7630F1-E9A4-4A8E-8513-61D2B0D218BD}">
            <xm:f>$S$8='Assessment Details'!$Q$23</xm:f>
            <x14:dxf>
              <border>
                <left style="thin">
                  <color theme="0"/>
                </left>
                <right style="thin">
                  <color theme="0"/>
                </right>
                <top style="thin">
                  <color theme="0"/>
                </top>
                <bottom style="thin">
                  <color theme="0"/>
                </bottom>
                <vertical/>
                <horizontal/>
              </border>
            </x14:dxf>
          </x14:cfRule>
          <xm:sqref>N200:N201</xm:sqref>
        </x14:conditionalFormatting>
        <x14:conditionalFormatting xmlns:xm="http://schemas.microsoft.com/office/excel/2006/main">
          <x14:cfRule type="expression" priority="1320" id="{3957C064-5083-431A-AC50-6D6297886495}">
            <xm:f>$Z$8='Assessment Details'!$Q$23</xm:f>
            <x14:dxf>
              <font>
                <color theme="0"/>
              </font>
              <fill>
                <patternFill>
                  <bgColor theme="0"/>
                </patternFill>
              </fill>
            </x14:dxf>
          </x14:cfRule>
          <xm:sqref>X200:Y201</xm:sqref>
        </x14:conditionalFormatting>
        <x14:conditionalFormatting xmlns:xm="http://schemas.microsoft.com/office/excel/2006/main">
          <x14:cfRule type="expression" priority="1319" id="{FE2904CF-7A9A-4A28-8B4E-E103FAFFB6AE}">
            <xm:f>$Z$8='Assessment Details'!$Q$23</xm:f>
            <x14:dxf>
              <border>
                <left style="thin">
                  <color theme="0"/>
                </left>
                <right style="thin">
                  <color theme="0"/>
                </right>
                <top style="thin">
                  <color theme="0"/>
                </top>
                <bottom style="thin">
                  <color theme="0"/>
                </bottom>
                <vertical/>
                <horizontal/>
              </border>
            </x14:dxf>
          </x14:cfRule>
          <xm:sqref>X200:Y201</xm:sqref>
        </x14:conditionalFormatting>
        <x14:conditionalFormatting xmlns:xm="http://schemas.microsoft.com/office/excel/2006/main">
          <x14:cfRule type="expression" priority="1305" id="{99BF82AF-6DDE-4C97-9EDE-55F2D2148B47}">
            <xm:f>$Z$8='Assessment Details'!$Q$23</xm:f>
            <x14:dxf>
              <font>
                <color theme="0"/>
              </font>
              <fill>
                <patternFill>
                  <bgColor theme="0"/>
                </patternFill>
              </fill>
            </x14:dxf>
          </x14:cfRule>
          <xm:sqref>U200:U201</xm:sqref>
        </x14:conditionalFormatting>
        <x14:conditionalFormatting xmlns:xm="http://schemas.microsoft.com/office/excel/2006/main">
          <x14:cfRule type="expression" priority="1304" id="{786C99D9-805D-4EC4-AAA5-946042835C3F}">
            <xm:f>$Z$8='Assessment Details'!$Q$23</xm:f>
            <x14:dxf>
              <border>
                <left style="thin">
                  <color theme="0"/>
                </left>
                <right style="thin">
                  <color theme="0"/>
                </right>
                <top style="thin">
                  <color theme="0"/>
                </top>
                <bottom style="thin">
                  <color theme="0"/>
                </bottom>
                <vertical/>
                <horizontal/>
              </border>
            </x14:dxf>
          </x14:cfRule>
          <xm:sqref>U200:U201</xm:sqref>
        </x14:conditionalFormatting>
        <x14:conditionalFormatting xmlns:xm="http://schemas.microsoft.com/office/excel/2006/main">
          <x14:cfRule type="expression" priority="1293" id="{EA46645F-FDB6-46DD-AF04-1ACC11A62A19}">
            <xm:f>$S$8='Assessment Details'!$Q$23</xm:f>
            <x14:dxf>
              <font>
                <color theme="0"/>
              </font>
              <fill>
                <patternFill>
                  <bgColor theme="0"/>
                </patternFill>
              </fill>
              <border>
                <vertical/>
                <horizontal/>
              </border>
            </x14:dxf>
          </x14:cfRule>
          <xm:sqref>N203:N204</xm:sqref>
        </x14:conditionalFormatting>
        <x14:conditionalFormatting xmlns:xm="http://schemas.microsoft.com/office/excel/2006/main">
          <x14:cfRule type="expression" priority="1292" id="{D8E5C5B9-67F1-4EFA-AAF7-A49BD24BB822}">
            <xm:f>$S$8='Assessment Details'!$Q$23</xm:f>
            <x14:dxf>
              <border>
                <left style="thin">
                  <color theme="0"/>
                </left>
                <right style="thin">
                  <color theme="0"/>
                </right>
                <top style="thin">
                  <color theme="0"/>
                </top>
                <bottom style="thin">
                  <color theme="0"/>
                </bottom>
                <vertical/>
                <horizontal/>
              </border>
            </x14:dxf>
          </x14:cfRule>
          <xm:sqref>N203:N204</xm:sqref>
        </x14:conditionalFormatting>
        <x14:conditionalFormatting xmlns:xm="http://schemas.microsoft.com/office/excel/2006/main">
          <x14:cfRule type="expression" priority="1291" id="{07B8799B-6971-4378-B289-9A4994B8B5F7}">
            <xm:f>$Z$8='Assessment Details'!$Q$23</xm:f>
            <x14:dxf>
              <font>
                <color theme="0"/>
              </font>
              <fill>
                <patternFill>
                  <bgColor theme="0"/>
                </patternFill>
              </fill>
            </x14:dxf>
          </x14:cfRule>
          <xm:sqref>X203:Y204</xm:sqref>
        </x14:conditionalFormatting>
        <x14:conditionalFormatting xmlns:xm="http://schemas.microsoft.com/office/excel/2006/main">
          <x14:cfRule type="expression" priority="1290" id="{F6392F3B-C379-4DBE-BEC1-F94861634129}">
            <xm:f>$Z$8='Assessment Details'!$Q$23</xm:f>
            <x14:dxf>
              <border>
                <left style="thin">
                  <color theme="0"/>
                </left>
                <right style="thin">
                  <color theme="0"/>
                </right>
                <top style="thin">
                  <color theme="0"/>
                </top>
                <bottom style="thin">
                  <color theme="0"/>
                </bottom>
                <vertical/>
                <horizontal/>
              </border>
            </x14:dxf>
          </x14:cfRule>
          <xm:sqref>X203:Y204</xm:sqref>
        </x14:conditionalFormatting>
        <x14:conditionalFormatting xmlns:xm="http://schemas.microsoft.com/office/excel/2006/main">
          <x14:cfRule type="expression" priority="1276" id="{227D99A2-8A89-4449-B850-632A63640735}">
            <xm:f>$Z$8='Assessment Details'!$Q$23</xm:f>
            <x14:dxf>
              <font>
                <color theme="0"/>
              </font>
              <fill>
                <patternFill>
                  <bgColor theme="0"/>
                </patternFill>
              </fill>
            </x14:dxf>
          </x14:cfRule>
          <xm:sqref>U203:U204</xm:sqref>
        </x14:conditionalFormatting>
        <x14:conditionalFormatting xmlns:xm="http://schemas.microsoft.com/office/excel/2006/main">
          <x14:cfRule type="expression" priority="1275" id="{ED8048D2-72D6-46EC-B068-FC4231F93B04}">
            <xm:f>$Z$8='Assessment Details'!$Q$23</xm:f>
            <x14:dxf>
              <border>
                <left style="thin">
                  <color theme="0"/>
                </left>
                <right style="thin">
                  <color theme="0"/>
                </right>
                <top style="thin">
                  <color theme="0"/>
                </top>
                <bottom style="thin">
                  <color theme="0"/>
                </bottom>
                <vertical/>
                <horizontal/>
              </border>
            </x14:dxf>
          </x14:cfRule>
          <xm:sqref>U203:U204</xm:sqref>
        </x14:conditionalFormatting>
        <x14:conditionalFormatting xmlns:xm="http://schemas.microsoft.com/office/excel/2006/main">
          <x14:cfRule type="expression" priority="1264" id="{3B117DA8-9379-4B2E-8949-4302D2DFF4CA}">
            <xm:f>$S$8='Assessment Details'!$Q$23</xm:f>
            <x14:dxf>
              <font>
                <color theme="0"/>
              </font>
              <fill>
                <patternFill>
                  <bgColor theme="0"/>
                </patternFill>
              </fill>
              <border>
                <vertical/>
                <horizontal/>
              </border>
            </x14:dxf>
          </x14:cfRule>
          <xm:sqref>N206:N207</xm:sqref>
        </x14:conditionalFormatting>
        <x14:conditionalFormatting xmlns:xm="http://schemas.microsoft.com/office/excel/2006/main">
          <x14:cfRule type="expression" priority="1263" id="{59458F57-A529-4C23-A8EF-65BECC09D98B}">
            <xm:f>$S$8='Assessment Details'!$Q$23</xm:f>
            <x14:dxf>
              <border>
                <left style="thin">
                  <color theme="0"/>
                </left>
                <right style="thin">
                  <color theme="0"/>
                </right>
                <top style="thin">
                  <color theme="0"/>
                </top>
                <bottom style="thin">
                  <color theme="0"/>
                </bottom>
                <vertical/>
                <horizontal/>
              </border>
            </x14:dxf>
          </x14:cfRule>
          <xm:sqref>N206:N207</xm:sqref>
        </x14:conditionalFormatting>
        <x14:conditionalFormatting xmlns:xm="http://schemas.microsoft.com/office/excel/2006/main">
          <x14:cfRule type="expression" priority="1262" id="{14512774-9395-4789-B891-50B6BA153938}">
            <xm:f>$Z$8='Assessment Details'!$Q$23</xm:f>
            <x14:dxf>
              <font>
                <color theme="0"/>
              </font>
              <fill>
                <patternFill>
                  <bgColor theme="0"/>
                </patternFill>
              </fill>
            </x14:dxf>
          </x14:cfRule>
          <xm:sqref>X206:Y207</xm:sqref>
        </x14:conditionalFormatting>
        <x14:conditionalFormatting xmlns:xm="http://schemas.microsoft.com/office/excel/2006/main">
          <x14:cfRule type="expression" priority="1261" id="{50CB0CD0-203C-47B4-BFB4-C39E6228CBE2}">
            <xm:f>$Z$8='Assessment Details'!$Q$23</xm:f>
            <x14:dxf>
              <border>
                <left style="thin">
                  <color theme="0"/>
                </left>
                <right style="thin">
                  <color theme="0"/>
                </right>
                <top style="thin">
                  <color theme="0"/>
                </top>
                <bottom style="thin">
                  <color theme="0"/>
                </bottom>
                <vertical/>
                <horizontal/>
              </border>
            </x14:dxf>
          </x14:cfRule>
          <xm:sqref>X206:Y207</xm:sqref>
        </x14:conditionalFormatting>
        <x14:conditionalFormatting xmlns:xm="http://schemas.microsoft.com/office/excel/2006/main">
          <x14:cfRule type="expression" priority="1247" id="{6DDE72B5-2604-4E19-B4C4-BDDED8942872}">
            <xm:f>$Z$8='Assessment Details'!$Q$23</xm:f>
            <x14:dxf>
              <font>
                <color theme="0"/>
              </font>
              <fill>
                <patternFill>
                  <bgColor theme="0"/>
                </patternFill>
              </fill>
            </x14:dxf>
          </x14:cfRule>
          <xm:sqref>U206:U207</xm:sqref>
        </x14:conditionalFormatting>
        <x14:conditionalFormatting xmlns:xm="http://schemas.microsoft.com/office/excel/2006/main">
          <x14:cfRule type="expression" priority="1205" id="{13F0E4D5-5D84-457B-833F-A9C88335247C}">
            <xm:f>$S$8='Assessment Details'!$Q$23</xm:f>
            <x14:dxf>
              <font>
                <color theme="0"/>
              </font>
              <fill>
                <patternFill>
                  <bgColor theme="0"/>
                </patternFill>
              </fill>
              <border>
                <vertical/>
                <horizontal/>
              </border>
            </x14:dxf>
          </x14:cfRule>
          <xm:sqref>N224</xm:sqref>
        </x14:conditionalFormatting>
        <x14:conditionalFormatting xmlns:xm="http://schemas.microsoft.com/office/excel/2006/main">
          <x14:cfRule type="expression" priority="1204" id="{2015831A-B28A-425A-ABEB-1D83A788414C}">
            <xm:f>$S$8='Assessment Details'!$Q$23</xm:f>
            <x14:dxf>
              <border>
                <left style="thin">
                  <color theme="0"/>
                </left>
                <right style="thin">
                  <color theme="0"/>
                </right>
                <top style="thin">
                  <color theme="0"/>
                </top>
                <bottom style="thin">
                  <color theme="0"/>
                </bottom>
                <vertical/>
                <horizontal/>
              </border>
            </x14:dxf>
          </x14:cfRule>
          <xm:sqref>N224</xm:sqref>
        </x14:conditionalFormatting>
        <x14:conditionalFormatting xmlns:xm="http://schemas.microsoft.com/office/excel/2006/main">
          <x14:cfRule type="expression" priority="1203" id="{D1978515-543D-41B4-9725-0FF87B793AA6}">
            <xm:f>$Z$8='Assessment Details'!$Q$23</xm:f>
            <x14:dxf>
              <font>
                <color theme="0"/>
              </font>
              <fill>
                <patternFill>
                  <bgColor theme="0"/>
                </patternFill>
              </fill>
            </x14:dxf>
          </x14:cfRule>
          <xm:sqref>U224</xm:sqref>
        </x14:conditionalFormatting>
        <x14:conditionalFormatting xmlns:xm="http://schemas.microsoft.com/office/excel/2006/main">
          <x14:cfRule type="expression" priority="1202" id="{B1BDAA96-7415-4AA8-83B0-83554A871CE4}">
            <xm:f>$Z$8='Assessment Details'!$Q$23</xm:f>
            <x14:dxf>
              <border>
                <left style="thin">
                  <color theme="0"/>
                </left>
                <right style="thin">
                  <color theme="0"/>
                </right>
                <top style="thin">
                  <color theme="0"/>
                </top>
                <bottom style="thin">
                  <color theme="0"/>
                </bottom>
                <vertical/>
                <horizontal/>
              </border>
            </x14:dxf>
          </x14:cfRule>
          <xm:sqref>U224</xm:sqref>
        </x14:conditionalFormatting>
        <x14:conditionalFormatting xmlns:xm="http://schemas.microsoft.com/office/excel/2006/main">
          <x14:cfRule type="expression" priority="1175" id="{E9C8BC85-79C2-48ED-83F9-A828663B02BC}">
            <xm:f>$Z$8='Assessment Details'!$Q$23</xm:f>
            <x14:dxf>
              <font>
                <color theme="0"/>
              </font>
              <fill>
                <patternFill>
                  <bgColor theme="0"/>
                </patternFill>
              </fill>
            </x14:dxf>
          </x14:cfRule>
          <xm:sqref>X196:Y196</xm:sqref>
        </x14:conditionalFormatting>
        <x14:conditionalFormatting xmlns:xm="http://schemas.microsoft.com/office/excel/2006/main">
          <x14:cfRule type="expression" priority="1174" id="{05FF17F0-138A-4115-8735-7DF4487C773A}">
            <xm:f>$Z$8='Assessment Details'!$Q$23</xm:f>
            <x14:dxf>
              <border>
                <left style="thin">
                  <color theme="0"/>
                </left>
                <right style="thin">
                  <color theme="0"/>
                </right>
                <top style="thin">
                  <color theme="0"/>
                </top>
                <bottom style="thin">
                  <color theme="0"/>
                </bottom>
                <vertical/>
                <horizontal/>
              </border>
            </x14:dxf>
          </x14:cfRule>
          <xm:sqref>X196:Y196</xm:sqref>
        </x14:conditionalFormatting>
        <x14:conditionalFormatting xmlns:xm="http://schemas.microsoft.com/office/excel/2006/main">
          <x14:cfRule type="expression" priority="1153" id="{0BBD319E-E165-41D8-A776-0E75303B2C6A}">
            <xm:f>$S$8='Assessment Details'!$Q$23</xm:f>
            <x14:dxf>
              <font>
                <color theme="0"/>
              </font>
              <fill>
                <patternFill>
                  <bgColor theme="0"/>
                </patternFill>
              </fill>
              <border>
                <vertical/>
                <horizontal/>
              </border>
            </x14:dxf>
          </x14:cfRule>
          <xm:sqref>N198</xm:sqref>
        </x14:conditionalFormatting>
        <x14:conditionalFormatting xmlns:xm="http://schemas.microsoft.com/office/excel/2006/main">
          <x14:cfRule type="expression" priority="1152" id="{64A52EC4-7784-42FF-9840-B95E6C5032D4}">
            <xm:f>$S$8='Assessment Details'!$Q$23</xm:f>
            <x14:dxf>
              <border>
                <left style="thin">
                  <color theme="0"/>
                </left>
                <right style="thin">
                  <color theme="0"/>
                </right>
                <top style="thin">
                  <color theme="0"/>
                </top>
                <bottom style="thin">
                  <color theme="0"/>
                </bottom>
                <vertical/>
                <horizontal/>
              </border>
            </x14:dxf>
          </x14:cfRule>
          <xm:sqref>N198</xm:sqref>
        </x14:conditionalFormatting>
        <x14:conditionalFormatting xmlns:xm="http://schemas.microsoft.com/office/excel/2006/main">
          <x14:cfRule type="expression" priority="1151" id="{50EA2D5F-4925-4DE9-8175-24D7B0FAC38D}">
            <xm:f>$Z$8='Assessment Details'!$Q$23</xm:f>
            <x14:dxf>
              <font>
                <color theme="0"/>
              </font>
              <fill>
                <patternFill>
                  <bgColor theme="0"/>
                </patternFill>
              </fill>
            </x14:dxf>
          </x14:cfRule>
          <xm:sqref>X198:Y198</xm:sqref>
        </x14:conditionalFormatting>
        <x14:conditionalFormatting xmlns:xm="http://schemas.microsoft.com/office/excel/2006/main">
          <x14:cfRule type="expression" priority="1150" id="{CDBF1BBA-0622-4E20-A9ED-BB386E735DE0}">
            <xm:f>$Z$8='Assessment Details'!$Q$23</xm:f>
            <x14:dxf>
              <border>
                <left style="thin">
                  <color theme="0"/>
                </left>
                <right style="thin">
                  <color theme="0"/>
                </right>
                <top style="thin">
                  <color theme="0"/>
                </top>
                <bottom style="thin">
                  <color theme="0"/>
                </bottom>
                <vertical/>
                <horizontal/>
              </border>
            </x14:dxf>
          </x14:cfRule>
          <xm:sqref>X198:Y198</xm:sqref>
        </x14:conditionalFormatting>
        <x14:conditionalFormatting xmlns:xm="http://schemas.microsoft.com/office/excel/2006/main">
          <x14:cfRule type="expression" priority="1149" id="{BA600EB2-D894-4A32-9E7F-A23795F6FD85}">
            <xm:f>$Z$8='Assessment Details'!$Q$23</xm:f>
            <x14:dxf>
              <font>
                <color theme="0"/>
              </font>
              <fill>
                <patternFill>
                  <bgColor theme="0"/>
                </patternFill>
              </fill>
            </x14:dxf>
          </x14:cfRule>
          <xm:sqref>U198</xm:sqref>
        </x14:conditionalFormatting>
        <x14:conditionalFormatting xmlns:xm="http://schemas.microsoft.com/office/excel/2006/main">
          <x14:cfRule type="expression" priority="1148" id="{10BA7BE5-3E03-47AB-9674-4127F705184C}">
            <xm:f>$Z$8='Assessment Details'!$Q$23</xm:f>
            <x14:dxf>
              <border>
                <left style="thin">
                  <color theme="0"/>
                </left>
                <right style="thin">
                  <color theme="0"/>
                </right>
                <top style="thin">
                  <color theme="0"/>
                </top>
                <bottom style="thin">
                  <color theme="0"/>
                </bottom>
                <vertical/>
                <horizontal/>
              </border>
            </x14:dxf>
          </x14:cfRule>
          <xm:sqref>U198</xm:sqref>
        </x14:conditionalFormatting>
        <x14:conditionalFormatting xmlns:xm="http://schemas.microsoft.com/office/excel/2006/main">
          <x14:cfRule type="expression" priority="1136" id="{71D00486-2067-46DC-BDC1-5EE4D7A8ED6D}">
            <xm:f>$S$8='Assessment Details'!$Q$23</xm:f>
            <x14:dxf>
              <font>
                <color theme="0"/>
              </font>
              <fill>
                <patternFill>
                  <bgColor theme="0"/>
                </patternFill>
              </fill>
              <border>
                <vertical/>
                <horizontal/>
              </border>
            </x14:dxf>
          </x14:cfRule>
          <xm:sqref>Q63:R63</xm:sqref>
        </x14:conditionalFormatting>
        <x14:conditionalFormatting xmlns:xm="http://schemas.microsoft.com/office/excel/2006/main">
          <x14:cfRule type="expression" priority="1135" id="{28E4A3D0-1638-4345-A978-E56A4FF5AE84}">
            <xm:f>$S$8='Assessment Details'!$Q$23</xm:f>
            <x14:dxf>
              <border>
                <left style="thin">
                  <color theme="0"/>
                </left>
                <right style="thin">
                  <color theme="0"/>
                </right>
                <top style="thin">
                  <color theme="0"/>
                </top>
                <bottom style="thin">
                  <color theme="0"/>
                </bottom>
                <vertical/>
                <horizontal/>
              </border>
            </x14:dxf>
          </x14:cfRule>
          <xm:sqref>Q63:R63</xm:sqref>
        </x14:conditionalFormatting>
        <x14:conditionalFormatting xmlns:xm="http://schemas.microsoft.com/office/excel/2006/main">
          <x14:cfRule type="expression" priority="1134" id="{ABC178BE-55CD-4AD6-9B80-E1ADE74D0F65}">
            <xm:f>$Z$8='Assessment Details'!$Q$23</xm:f>
            <x14:dxf>
              <font>
                <color theme="0"/>
              </font>
              <fill>
                <patternFill>
                  <bgColor theme="0"/>
                </patternFill>
              </fill>
            </x14:dxf>
          </x14:cfRule>
          <xm:sqref>U63</xm:sqref>
        </x14:conditionalFormatting>
        <x14:conditionalFormatting xmlns:xm="http://schemas.microsoft.com/office/excel/2006/main">
          <x14:cfRule type="expression" priority="1133" id="{B34A33E1-F52C-4841-AEB3-E470F60604C5}">
            <xm:f>$Z$8='Assessment Details'!$Q$23</xm:f>
            <x14:dxf>
              <border>
                <left style="thin">
                  <color theme="0"/>
                </left>
                <right style="thin">
                  <color theme="0"/>
                </right>
                <top style="thin">
                  <color theme="0"/>
                </top>
                <bottom style="thin">
                  <color theme="0"/>
                </bottom>
                <vertical/>
                <horizontal/>
              </border>
            </x14:dxf>
          </x14:cfRule>
          <xm:sqref>U63</xm:sqref>
        </x14:conditionalFormatting>
        <x14:conditionalFormatting xmlns:xm="http://schemas.microsoft.com/office/excel/2006/main">
          <x14:cfRule type="expression" priority="1124" id="{2E906952-F76B-4002-AEF2-19C384210E97}">
            <xm:f>$S$8='Assessment Details'!$Q$23</xm:f>
            <x14:dxf>
              <font>
                <color theme="0"/>
              </font>
              <fill>
                <patternFill>
                  <bgColor theme="0"/>
                </patternFill>
              </fill>
              <border>
                <vertical/>
                <horizontal/>
              </border>
            </x14:dxf>
          </x14:cfRule>
          <xm:sqref>Q92:R92</xm:sqref>
        </x14:conditionalFormatting>
        <x14:conditionalFormatting xmlns:xm="http://schemas.microsoft.com/office/excel/2006/main">
          <x14:cfRule type="expression" priority="1123" id="{016CED2A-DEE6-4A52-BCCD-A88530D2F7A7}">
            <xm:f>$S$8='Assessment Details'!$Q$23</xm:f>
            <x14:dxf>
              <border>
                <left style="thin">
                  <color theme="0"/>
                </left>
                <right style="thin">
                  <color theme="0"/>
                </right>
                <top style="thin">
                  <color theme="0"/>
                </top>
                <bottom style="thin">
                  <color theme="0"/>
                </bottom>
                <vertical/>
                <horizontal/>
              </border>
            </x14:dxf>
          </x14:cfRule>
          <xm:sqref>Q92:R92</xm:sqref>
        </x14:conditionalFormatting>
        <x14:conditionalFormatting xmlns:xm="http://schemas.microsoft.com/office/excel/2006/main">
          <x14:cfRule type="expression" priority="1122" id="{AA2B09B7-D032-4EDC-9E2C-B2613AF925BA}">
            <xm:f>$Z$8='Assessment Details'!$Q$23</xm:f>
            <x14:dxf>
              <font>
                <color theme="0"/>
              </font>
              <fill>
                <patternFill>
                  <bgColor theme="0"/>
                </patternFill>
              </fill>
            </x14:dxf>
          </x14:cfRule>
          <xm:sqref>U92</xm:sqref>
        </x14:conditionalFormatting>
        <x14:conditionalFormatting xmlns:xm="http://schemas.microsoft.com/office/excel/2006/main">
          <x14:cfRule type="expression" priority="1121" id="{2E11EAEC-490D-47E0-AC73-6DF2825CAB7B}">
            <xm:f>$Z$8='Assessment Details'!$Q$23</xm:f>
            <x14:dxf>
              <border>
                <left style="thin">
                  <color theme="0"/>
                </left>
                <right style="thin">
                  <color theme="0"/>
                </right>
                <top style="thin">
                  <color theme="0"/>
                </top>
                <bottom style="thin">
                  <color theme="0"/>
                </bottom>
                <vertical/>
                <horizontal/>
              </border>
            </x14:dxf>
          </x14:cfRule>
          <xm:sqref>U92</xm:sqref>
        </x14:conditionalFormatting>
        <x14:conditionalFormatting xmlns:xm="http://schemas.microsoft.com/office/excel/2006/main">
          <x14:cfRule type="expression" priority="1112" id="{EA046676-BAF8-44C4-868F-A279D4782715}">
            <xm:f>$S$8='Assessment Details'!$Q$23</xm:f>
            <x14:dxf>
              <font>
                <color theme="0"/>
              </font>
              <fill>
                <patternFill>
                  <bgColor theme="0"/>
                </patternFill>
              </fill>
              <border>
                <vertical/>
                <horizontal/>
              </border>
            </x14:dxf>
          </x14:cfRule>
          <xm:sqref>Q101:R101</xm:sqref>
        </x14:conditionalFormatting>
        <x14:conditionalFormatting xmlns:xm="http://schemas.microsoft.com/office/excel/2006/main">
          <x14:cfRule type="expression" priority="1111" id="{78F98CD6-B22A-40B7-BA85-927D4EDA73A5}">
            <xm:f>$S$8='Assessment Details'!$Q$23</xm:f>
            <x14:dxf>
              <border>
                <left style="thin">
                  <color theme="0"/>
                </left>
                <right style="thin">
                  <color theme="0"/>
                </right>
                <top style="thin">
                  <color theme="0"/>
                </top>
                <bottom style="thin">
                  <color theme="0"/>
                </bottom>
                <vertical/>
                <horizontal/>
              </border>
            </x14:dxf>
          </x14:cfRule>
          <xm:sqref>Q101:R101</xm:sqref>
        </x14:conditionalFormatting>
        <x14:conditionalFormatting xmlns:xm="http://schemas.microsoft.com/office/excel/2006/main">
          <x14:cfRule type="expression" priority="1110" id="{D00CC6D4-5E6B-4F94-B0D6-BCA5015A55FC}">
            <xm:f>$Z$8='Assessment Details'!$Q$23</xm:f>
            <x14:dxf>
              <font>
                <color theme="0"/>
              </font>
              <fill>
                <patternFill>
                  <bgColor theme="0"/>
                </patternFill>
              </fill>
            </x14:dxf>
          </x14:cfRule>
          <xm:sqref>U101</xm:sqref>
        </x14:conditionalFormatting>
        <x14:conditionalFormatting xmlns:xm="http://schemas.microsoft.com/office/excel/2006/main">
          <x14:cfRule type="expression" priority="1109" id="{DA754FE4-0819-4A01-9771-C8FB065924D0}">
            <xm:f>$Z$8='Assessment Details'!$Q$23</xm:f>
            <x14:dxf>
              <border>
                <left style="thin">
                  <color theme="0"/>
                </left>
                <right style="thin">
                  <color theme="0"/>
                </right>
                <top style="thin">
                  <color theme="0"/>
                </top>
                <bottom style="thin">
                  <color theme="0"/>
                </bottom>
                <vertical/>
                <horizontal/>
              </border>
            </x14:dxf>
          </x14:cfRule>
          <xm:sqref>U101</xm:sqref>
        </x14:conditionalFormatting>
        <x14:conditionalFormatting xmlns:xm="http://schemas.microsoft.com/office/excel/2006/main">
          <x14:cfRule type="expression" priority="1100" id="{72E050F9-DC77-4BE7-B77A-34D110C0BE12}">
            <xm:f>$S$8='Assessment Details'!$Q$23</xm:f>
            <x14:dxf>
              <font>
                <color theme="0"/>
              </font>
              <fill>
                <patternFill>
                  <bgColor theme="0"/>
                </patternFill>
              </fill>
              <border>
                <vertical/>
                <horizontal/>
              </border>
            </x14:dxf>
          </x14:cfRule>
          <xm:sqref>Q115:R115</xm:sqref>
        </x14:conditionalFormatting>
        <x14:conditionalFormatting xmlns:xm="http://schemas.microsoft.com/office/excel/2006/main">
          <x14:cfRule type="expression" priority="1099" id="{48CF0650-BF7E-44AC-9F17-75C452C88A1E}">
            <xm:f>$S$8='Assessment Details'!$Q$23</xm:f>
            <x14:dxf>
              <border>
                <left style="thin">
                  <color theme="0"/>
                </left>
                <right style="thin">
                  <color theme="0"/>
                </right>
                <top style="thin">
                  <color theme="0"/>
                </top>
                <bottom style="thin">
                  <color theme="0"/>
                </bottom>
                <vertical/>
                <horizontal/>
              </border>
            </x14:dxf>
          </x14:cfRule>
          <xm:sqref>Q115:R115</xm:sqref>
        </x14:conditionalFormatting>
        <x14:conditionalFormatting xmlns:xm="http://schemas.microsoft.com/office/excel/2006/main">
          <x14:cfRule type="expression" priority="1098" id="{7D5772DD-D924-4429-89D0-A0B89E56E56E}">
            <xm:f>$Z$8='Assessment Details'!$Q$23</xm:f>
            <x14:dxf>
              <font>
                <color theme="0"/>
              </font>
              <fill>
                <patternFill>
                  <bgColor theme="0"/>
                </patternFill>
              </fill>
            </x14:dxf>
          </x14:cfRule>
          <xm:sqref>U115</xm:sqref>
        </x14:conditionalFormatting>
        <x14:conditionalFormatting xmlns:xm="http://schemas.microsoft.com/office/excel/2006/main">
          <x14:cfRule type="expression" priority="1097" id="{76622B2F-5B20-4947-A273-3BD00F9314A7}">
            <xm:f>$Z$8='Assessment Details'!$Q$23</xm:f>
            <x14:dxf>
              <border>
                <left style="thin">
                  <color theme="0"/>
                </left>
                <right style="thin">
                  <color theme="0"/>
                </right>
                <top style="thin">
                  <color theme="0"/>
                </top>
                <bottom style="thin">
                  <color theme="0"/>
                </bottom>
                <vertical/>
                <horizontal/>
              </border>
            </x14:dxf>
          </x14:cfRule>
          <xm:sqref>U115</xm:sqref>
        </x14:conditionalFormatting>
        <x14:conditionalFormatting xmlns:xm="http://schemas.microsoft.com/office/excel/2006/main">
          <x14:cfRule type="expression" priority="1088" id="{1FFE2CDF-5A3B-464B-B27F-AEE5C806C559}">
            <xm:f>$S$8='Assessment Details'!$Q$23</xm:f>
            <x14:dxf>
              <font>
                <color theme="0"/>
              </font>
              <fill>
                <patternFill>
                  <bgColor theme="0"/>
                </patternFill>
              </fill>
              <border>
                <vertical/>
                <horizontal/>
              </border>
            </x14:dxf>
          </x14:cfRule>
          <xm:sqref>Q145:R145</xm:sqref>
        </x14:conditionalFormatting>
        <x14:conditionalFormatting xmlns:xm="http://schemas.microsoft.com/office/excel/2006/main">
          <x14:cfRule type="expression" priority="1087" id="{8E3B65D4-BF8F-41BB-8BC1-47A89858900A}">
            <xm:f>$S$8='Assessment Details'!$Q$23</xm:f>
            <x14:dxf>
              <border>
                <left style="thin">
                  <color theme="0"/>
                </left>
                <right style="thin">
                  <color theme="0"/>
                </right>
                <top style="thin">
                  <color theme="0"/>
                </top>
                <bottom style="thin">
                  <color theme="0"/>
                </bottom>
                <vertical/>
                <horizontal/>
              </border>
            </x14:dxf>
          </x14:cfRule>
          <xm:sqref>Q145:R145</xm:sqref>
        </x14:conditionalFormatting>
        <x14:conditionalFormatting xmlns:xm="http://schemas.microsoft.com/office/excel/2006/main">
          <x14:cfRule type="expression" priority="1086" id="{4D02F44B-AD7E-441E-80DD-0A60777C100A}">
            <xm:f>$Z$8='Assessment Details'!$Q$23</xm:f>
            <x14:dxf>
              <font>
                <color theme="0"/>
              </font>
              <fill>
                <patternFill>
                  <bgColor theme="0"/>
                </patternFill>
              </fill>
            </x14:dxf>
          </x14:cfRule>
          <xm:sqref>U145</xm:sqref>
        </x14:conditionalFormatting>
        <x14:conditionalFormatting xmlns:xm="http://schemas.microsoft.com/office/excel/2006/main">
          <x14:cfRule type="expression" priority="1085" id="{C7F05634-C1C7-4679-A9F9-F9612083CF9F}">
            <xm:f>$Z$8='Assessment Details'!$Q$23</xm:f>
            <x14:dxf>
              <border>
                <left style="thin">
                  <color theme="0"/>
                </left>
                <right style="thin">
                  <color theme="0"/>
                </right>
                <top style="thin">
                  <color theme="0"/>
                </top>
                <bottom style="thin">
                  <color theme="0"/>
                </bottom>
                <vertical/>
                <horizontal/>
              </border>
            </x14:dxf>
          </x14:cfRule>
          <xm:sqref>U145</xm:sqref>
        </x14:conditionalFormatting>
        <x14:conditionalFormatting xmlns:xm="http://schemas.microsoft.com/office/excel/2006/main">
          <x14:cfRule type="expression" priority="1076" id="{0056FDA5-F740-4214-8184-D291462FB1E4}">
            <xm:f>$S$8='Assessment Details'!$Q$23</xm:f>
            <x14:dxf>
              <font>
                <color theme="0"/>
              </font>
              <fill>
                <patternFill>
                  <bgColor theme="0"/>
                </patternFill>
              </fill>
              <border>
                <vertical/>
                <horizontal/>
              </border>
            </x14:dxf>
          </x14:cfRule>
          <xm:sqref>Q160:R160</xm:sqref>
        </x14:conditionalFormatting>
        <x14:conditionalFormatting xmlns:xm="http://schemas.microsoft.com/office/excel/2006/main">
          <x14:cfRule type="expression" priority="1075" id="{1BCD2277-3EAB-4A22-93BB-E26D28CC0C3A}">
            <xm:f>$S$8='Assessment Details'!$Q$23</xm:f>
            <x14:dxf>
              <border>
                <left style="thin">
                  <color theme="0"/>
                </left>
                <right style="thin">
                  <color theme="0"/>
                </right>
                <top style="thin">
                  <color theme="0"/>
                </top>
                <bottom style="thin">
                  <color theme="0"/>
                </bottom>
                <vertical/>
                <horizontal/>
              </border>
            </x14:dxf>
          </x14:cfRule>
          <xm:sqref>Q160:R160</xm:sqref>
        </x14:conditionalFormatting>
        <x14:conditionalFormatting xmlns:xm="http://schemas.microsoft.com/office/excel/2006/main">
          <x14:cfRule type="expression" priority="1074" id="{BA1EBAC0-8656-4B2A-BDB0-FC726DB0747D}">
            <xm:f>$Z$8='Assessment Details'!$Q$23</xm:f>
            <x14:dxf>
              <font>
                <color theme="0"/>
              </font>
              <fill>
                <patternFill>
                  <bgColor theme="0"/>
                </patternFill>
              </fill>
            </x14:dxf>
          </x14:cfRule>
          <xm:sqref>U160</xm:sqref>
        </x14:conditionalFormatting>
        <x14:conditionalFormatting xmlns:xm="http://schemas.microsoft.com/office/excel/2006/main">
          <x14:cfRule type="expression" priority="1073" id="{D40BFFAE-632F-4041-81F0-92A93FE14725}">
            <xm:f>$Z$8='Assessment Details'!$Q$23</xm:f>
            <x14:dxf>
              <border>
                <left style="thin">
                  <color theme="0"/>
                </left>
                <right style="thin">
                  <color theme="0"/>
                </right>
                <top style="thin">
                  <color theme="0"/>
                </top>
                <bottom style="thin">
                  <color theme="0"/>
                </bottom>
                <vertical/>
                <horizontal/>
              </border>
            </x14:dxf>
          </x14:cfRule>
          <xm:sqref>U160</xm:sqref>
        </x14:conditionalFormatting>
        <x14:conditionalFormatting xmlns:xm="http://schemas.microsoft.com/office/excel/2006/main">
          <x14:cfRule type="expression" priority="1064" id="{01659BDE-7E5B-4728-97BD-B3D5A26A65DA}">
            <xm:f>$S$8='Assessment Details'!$Q$23</xm:f>
            <x14:dxf>
              <font>
                <color theme="0"/>
              </font>
              <fill>
                <patternFill>
                  <bgColor theme="0"/>
                </patternFill>
              </fill>
              <border>
                <vertical/>
                <horizontal/>
              </border>
            </x14:dxf>
          </x14:cfRule>
          <xm:sqref>Q191:R191</xm:sqref>
        </x14:conditionalFormatting>
        <x14:conditionalFormatting xmlns:xm="http://schemas.microsoft.com/office/excel/2006/main">
          <x14:cfRule type="expression" priority="1063" id="{B2F0B264-AE4A-4FC5-ACBB-80DB6BD7C930}">
            <xm:f>$S$8='Assessment Details'!$Q$23</xm:f>
            <x14:dxf>
              <border>
                <left style="thin">
                  <color theme="0"/>
                </left>
                <right style="thin">
                  <color theme="0"/>
                </right>
                <top style="thin">
                  <color theme="0"/>
                </top>
                <bottom style="thin">
                  <color theme="0"/>
                </bottom>
                <vertical/>
                <horizontal/>
              </border>
            </x14:dxf>
          </x14:cfRule>
          <xm:sqref>Q191:R191</xm:sqref>
        </x14:conditionalFormatting>
        <x14:conditionalFormatting xmlns:xm="http://schemas.microsoft.com/office/excel/2006/main">
          <x14:cfRule type="expression" priority="1062" id="{A8CFDC61-3803-40AA-88E2-289AA29EC575}">
            <xm:f>$Z$8='Assessment Details'!$Q$23</xm:f>
            <x14:dxf>
              <font>
                <color theme="0"/>
              </font>
              <fill>
                <patternFill>
                  <bgColor theme="0"/>
                </patternFill>
              </fill>
            </x14:dxf>
          </x14:cfRule>
          <xm:sqref>U191</xm:sqref>
        </x14:conditionalFormatting>
        <x14:conditionalFormatting xmlns:xm="http://schemas.microsoft.com/office/excel/2006/main">
          <x14:cfRule type="expression" priority="1061" id="{A1ECE2F7-5534-47E3-AA5F-59EA4217462D}">
            <xm:f>$Z$8='Assessment Details'!$Q$23</xm:f>
            <x14:dxf>
              <border>
                <left style="thin">
                  <color theme="0"/>
                </left>
                <right style="thin">
                  <color theme="0"/>
                </right>
                <top style="thin">
                  <color theme="0"/>
                </top>
                <bottom style="thin">
                  <color theme="0"/>
                </bottom>
                <vertical/>
                <horizontal/>
              </border>
            </x14:dxf>
          </x14:cfRule>
          <xm:sqref>U191</xm:sqref>
        </x14:conditionalFormatting>
        <x14:conditionalFormatting xmlns:xm="http://schemas.microsoft.com/office/excel/2006/main">
          <x14:cfRule type="expression" priority="1052" id="{89C49241-A961-4AFA-940F-7360A325BAED}">
            <xm:f>$S$8='Assessment Details'!$Q$23</xm:f>
            <x14:dxf>
              <font>
                <color theme="0"/>
              </font>
              <fill>
                <patternFill>
                  <bgColor theme="0"/>
                </patternFill>
              </fill>
              <border>
                <vertical/>
                <horizontal/>
              </border>
            </x14:dxf>
          </x14:cfRule>
          <xm:sqref>Q208:R208</xm:sqref>
        </x14:conditionalFormatting>
        <x14:conditionalFormatting xmlns:xm="http://schemas.microsoft.com/office/excel/2006/main">
          <x14:cfRule type="expression" priority="1051" id="{BF658C0A-7B19-406B-A0E6-C17085941988}">
            <xm:f>$S$8='Assessment Details'!$Q$23</xm:f>
            <x14:dxf>
              <border>
                <left style="thin">
                  <color theme="0"/>
                </left>
                <right style="thin">
                  <color theme="0"/>
                </right>
                <top style="thin">
                  <color theme="0"/>
                </top>
                <bottom style="thin">
                  <color theme="0"/>
                </bottom>
                <vertical/>
                <horizontal/>
              </border>
            </x14:dxf>
          </x14:cfRule>
          <xm:sqref>Q208:R208</xm:sqref>
        </x14:conditionalFormatting>
        <x14:conditionalFormatting xmlns:xm="http://schemas.microsoft.com/office/excel/2006/main">
          <x14:cfRule type="expression" priority="1050" id="{43E8197F-C15F-4E6A-9D11-219C57008C5C}">
            <xm:f>$Z$8='Assessment Details'!$Q$23</xm:f>
            <x14:dxf>
              <font>
                <color theme="0"/>
              </font>
              <fill>
                <patternFill>
                  <bgColor theme="0"/>
                </patternFill>
              </fill>
            </x14:dxf>
          </x14:cfRule>
          <xm:sqref>U208</xm:sqref>
        </x14:conditionalFormatting>
        <x14:conditionalFormatting xmlns:xm="http://schemas.microsoft.com/office/excel/2006/main">
          <x14:cfRule type="expression" priority="1049" id="{F45E98F7-5F58-46EB-8121-5241DBEB9E82}">
            <xm:f>$Z$8='Assessment Details'!$Q$23</xm:f>
            <x14:dxf>
              <border>
                <left style="thin">
                  <color theme="0"/>
                </left>
                <right style="thin">
                  <color theme="0"/>
                </right>
                <top style="thin">
                  <color theme="0"/>
                </top>
                <bottom style="thin">
                  <color theme="0"/>
                </bottom>
                <vertical/>
                <horizontal/>
              </border>
            </x14:dxf>
          </x14:cfRule>
          <xm:sqref>U208</xm:sqref>
        </x14:conditionalFormatting>
        <x14:conditionalFormatting xmlns:xm="http://schemas.microsoft.com/office/excel/2006/main">
          <x14:cfRule type="expression" priority="1038" id="{3B264B50-F180-4FE0-8A6C-12ECE604D2C9}">
            <xm:f>$Z$8='Assessment Details'!$Q$23</xm:f>
            <x14:dxf>
              <font>
                <color theme="0"/>
              </font>
              <fill>
                <patternFill>
                  <bgColor theme="0"/>
                </patternFill>
              </fill>
            </x14:dxf>
          </x14:cfRule>
          <xm:sqref>U225</xm:sqref>
        </x14:conditionalFormatting>
        <x14:conditionalFormatting xmlns:xm="http://schemas.microsoft.com/office/excel/2006/main">
          <x14:cfRule type="expression" priority="1037" id="{6A2E87DA-EB79-40E0-873E-702FD57712F9}">
            <xm:f>$Z$8='Assessment Details'!$Q$23</xm:f>
            <x14:dxf>
              <border>
                <left style="thin">
                  <color theme="0"/>
                </left>
                <right style="thin">
                  <color theme="0"/>
                </right>
                <top style="thin">
                  <color theme="0"/>
                </top>
                <bottom style="thin">
                  <color theme="0"/>
                </bottom>
                <vertical/>
                <horizontal/>
              </border>
            </x14:dxf>
          </x14:cfRule>
          <xm:sqref>U225</xm:sqref>
        </x14:conditionalFormatting>
        <x14:conditionalFormatting xmlns:xm="http://schemas.microsoft.com/office/excel/2006/main">
          <x14:cfRule type="expression" priority="1032" id="{307AA2B4-9460-4D64-B64E-D9E082FDD21D}">
            <xm:f>$S$8='Assessment Details'!$Q$23</xm:f>
            <x14:dxf>
              <font>
                <color theme="0"/>
              </font>
              <fill>
                <patternFill>
                  <bgColor theme="0"/>
                </patternFill>
              </fill>
              <border>
                <vertical/>
                <horizontal/>
              </border>
            </x14:dxf>
          </x14:cfRule>
          <xm:sqref>N56</xm:sqref>
        </x14:conditionalFormatting>
        <x14:conditionalFormatting xmlns:xm="http://schemas.microsoft.com/office/excel/2006/main">
          <x14:cfRule type="expression" priority="1031" id="{E054E369-8675-45A9-9063-6772B90EC6F0}">
            <xm:f>$S$8='Assessment Details'!$Q$23</xm:f>
            <x14:dxf>
              <border>
                <left style="thin">
                  <color theme="0"/>
                </left>
                <right style="thin">
                  <color theme="0"/>
                </right>
                <top style="thin">
                  <color theme="0"/>
                </top>
                <bottom style="thin">
                  <color theme="0"/>
                </bottom>
                <vertical/>
                <horizontal/>
              </border>
            </x14:dxf>
          </x14:cfRule>
          <xm:sqref>N56</xm:sqref>
        </x14:conditionalFormatting>
        <x14:conditionalFormatting xmlns:xm="http://schemas.microsoft.com/office/excel/2006/main">
          <x14:cfRule type="expression" priority="1028" id="{A1C72D73-A9A2-4173-B170-EA428AE8FCE0}">
            <xm:f>$S$8='Assessment Details'!$Q$23</xm:f>
            <x14:dxf>
              <font>
                <color theme="0"/>
              </font>
              <fill>
                <patternFill>
                  <bgColor theme="0"/>
                </patternFill>
              </fill>
              <border>
                <vertical/>
                <horizontal/>
              </border>
            </x14:dxf>
          </x14:cfRule>
          <xm:sqref>N119</xm:sqref>
        </x14:conditionalFormatting>
        <x14:conditionalFormatting xmlns:xm="http://schemas.microsoft.com/office/excel/2006/main">
          <x14:cfRule type="expression" priority="1027" id="{C332B9BF-6CBB-4400-A162-14E1CE03FA30}">
            <xm:f>$S$8='Assessment Details'!$Q$23</xm:f>
            <x14:dxf>
              <border>
                <left style="thin">
                  <color theme="0"/>
                </left>
                <right style="thin">
                  <color theme="0"/>
                </right>
                <top style="thin">
                  <color theme="0"/>
                </top>
                <bottom style="thin">
                  <color theme="0"/>
                </bottom>
                <vertical/>
                <horizontal/>
              </border>
            </x14:dxf>
          </x14:cfRule>
          <xm:sqref>N119</xm:sqref>
        </x14:conditionalFormatting>
        <x14:conditionalFormatting xmlns:xm="http://schemas.microsoft.com/office/excel/2006/main">
          <x14:cfRule type="expression" priority="1024" id="{0CA13EFB-5FAE-443D-AAEA-19BF3CBA73DF}">
            <xm:f>$S$8='Assessment Details'!$Q$23</xm:f>
            <x14:dxf>
              <font>
                <color theme="0"/>
              </font>
              <fill>
                <patternFill>
                  <bgColor theme="0"/>
                </patternFill>
              </fill>
              <border>
                <vertical/>
                <horizontal/>
              </border>
            </x14:dxf>
          </x14:cfRule>
          <xm:sqref>N123</xm:sqref>
        </x14:conditionalFormatting>
        <x14:conditionalFormatting xmlns:xm="http://schemas.microsoft.com/office/excel/2006/main">
          <x14:cfRule type="expression" priority="1023" id="{0F71D829-C403-4643-9F3F-9308293F6A30}">
            <xm:f>$S$8='Assessment Details'!$Q$23</xm:f>
            <x14:dxf>
              <border>
                <left style="thin">
                  <color theme="0"/>
                </left>
                <right style="thin">
                  <color theme="0"/>
                </right>
                <top style="thin">
                  <color theme="0"/>
                </top>
                <bottom style="thin">
                  <color theme="0"/>
                </bottom>
                <vertical/>
                <horizontal/>
              </border>
            </x14:dxf>
          </x14:cfRule>
          <xm:sqref>N123</xm:sqref>
        </x14:conditionalFormatting>
        <x14:conditionalFormatting xmlns:xm="http://schemas.microsoft.com/office/excel/2006/main">
          <x14:cfRule type="expression" priority="1020" id="{9AB21409-CDEA-4079-BDC1-9A141F03A66C}">
            <xm:f>$S$8='Assessment Details'!$Q$23</xm:f>
            <x14:dxf>
              <font>
                <color theme="0"/>
              </font>
              <fill>
                <patternFill>
                  <bgColor theme="0"/>
                </patternFill>
              </fill>
              <border>
                <vertical/>
                <horizontal/>
              </border>
            </x14:dxf>
          </x14:cfRule>
          <xm:sqref>N127</xm:sqref>
        </x14:conditionalFormatting>
        <x14:conditionalFormatting xmlns:xm="http://schemas.microsoft.com/office/excel/2006/main">
          <x14:cfRule type="expression" priority="1019" id="{F5414219-E047-4E00-B627-ED7355889037}">
            <xm:f>$S$8='Assessment Details'!$Q$23</xm:f>
            <x14:dxf>
              <border>
                <left style="thin">
                  <color theme="0"/>
                </left>
                <right style="thin">
                  <color theme="0"/>
                </right>
                <top style="thin">
                  <color theme="0"/>
                </top>
                <bottom style="thin">
                  <color theme="0"/>
                </bottom>
                <vertical/>
                <horizontal/>
              </border>
            </x14:dxf>
          </x14:cfRule>
          <xm:sqref>N127</xm:sqref>
        </x14:conditionalFormatting>
        <x14:conditionalFormatting xmlns:xm="http://schemas.microsoft.com/office/excel/2006/main">
          <x14:cfRule type="expression" priority="1016" id="{7C843AA6-8F10-48A2-A7B5-BAA3503304A0}">
            <xm:f>$S$8='Assessment Details'!$Q$23</xm:f>
            <x14:dxf>
              <font>
                <color theme="0"/>
              </font>
              <fill>
                <patternFill>
                  <bgColor theme="0"/>
                </patternFill>
              </fill>
              <border>
                <vertical/>
                <horizontal/>
              </border>
            </x14:dxf>
          </x14:cfRule>
          <xm:sqref>N131</xm:sqref>
        </x14:conditionalFormatting>
        <x14:conditionalFormatting xmlns:xm="http://schemas.microsoft.com/office/excel/2006/main">
          <x14:cfRule type="expression" priority="1015" id="{1B33CFF4-4F1B-4FD8-9433-725623964A4E}">
            <xm:f>$S$8='Assessment Details'!$Q$23</xm:f>
            <x14:dxf>
              <border>
                <left style="thin">
                  <color theme="0"/>
                </left>
                <right style="thin">
                  <color theme="0"/>
                </right>
                <top style="thin">
                  <color theme="0"/>
                </top>
                <bottom style="thin">
                  <color theme="0"/>
                </bottom>
                <vertical/>
                <horizontal/>
              </border>
            </x14:dxf>
          </x14:cfRule>
          <xm:sqref>N131</xm:sqref>
        </x14:conditionalFormatting>
        <x14:conditionalFormatting xmlns:xm="http://schemas.microsoft.com/office/excel/2006/main">
          <x14:cfRule type="expression" priority="1012" id="{B4BB3E1A-7AFC-461C-AA75-FD582653BF7C}">
            <xm:f>$S$8='Assessment Details'!$Q$23</xm:f>
            <x14:dxf>
              <font>
                <color theme="0"/>
              </font>
              <fill>
                <patternFill>
                  <bgColor theme="0"/>
                </patternFill>
              </fill>
              <border>
                <vertical/>
                <horizontal/>
              </border>
            </x14:dxf>
          </x14:cfRule>
          <xm:sqref>N167</xm:sqref>
        </x14:conditionalFormatting>
        <x14:conditionalFormatting xmlns:xm="http://schemas.microsoft.com/office/excel/2006/main">
          <x14:cfRule type="expression" priority="1011" id="{0C1307FD-EF1C-4875-A07B-1E2C833AB17E}">
            <xm:f>$S$8='Assessment Details'!$Q$23</xm:f>
            <x14:dxf>
              <border>
                <left style="thin">
                  <color theme="0"/>
                </left>
                <right style="thin">
                  <color theme="0"/>
                </right>
                <top style="thin">
                  <color theme="0"/>
                </top>
                <bottom style="thin">
                  <color theme="0"/>
                </bottom>
                <vertical/>
                <horizontal/>
              </border>
            </x14:dxf>
          </x14:cfRule>
          <xm:sqref>N167</xm:sqref>
        </x14:conditionalFormatting>
        <x14:conditionalFormatting xmlns:xm="http://schemas.microsoft.com/office/excel/2006/main">
          <x14:cfRule type="expression" priority="1004" id="{E15BC88D-C946-4E1A-BD75-8CEC8E32FC7D}">
            <xm:f>$S$8='Assessment Details'!$Q$23</xm:f>
            <x14:dxf>
              <font>
                <color theme="0"/>
              </font>
              <fill>
                <patternFill>
                  <bgColor theme="0"/>
                </patternFill>
              </fill>
              <border>
                <vertical/>
                <horizontal/>
              </border>
            </x14:dxf>
          </x14:cfRule>
          <xm:sqref>N174</xm:sqref>
        </x14:conditionalFormatting>
        <x14:conditionalFormatting xmlns:xm="http://schemas.microsoft.com/office/excel/2006/main">
          <x14:cfRule type="expression" priority="1003" id="{D6BB9F8E-0A57-42E3-B5E1-7644F2DFCD46}">
            <xm:f>$S$8='Assessment Details'!$Q$23</xm:f>
            <x14:dxf>
              <border>
                <left style="thin">
                  <color theme="0"/>
                </left>
                <right style="thin">
                  <color theme="0"/>
                </right>
                <top style="thin">
                  <color theme="0"/>
                </top>
                <bottom style="thin">
                  <color theme="0"/>
                </bottom>
                <vertical/>
                <horizontal/>
              </border>
            </x14:dxf>
          </x14:cfRule>
          <xm:sqref>N174</xm:sqref>
        </x14:conditionalFormatting>
        <x14:conditionalFormatting xmlns:xm="http://schemas.microsoft.com/office/excel/2006/main">
          <x14:cfRule type="expression" priority="1000" id="{810D66C2-8584-47FB-BFB3-19127E2BA28A}">
            <xm:f>$S$8='Assessment Details'!$Q$23</xm:f>
            <x14:dxf>
              <font>
                <color theme="0"/>
              </font>
              <fill>
                <patternFill>
                  <bgColor theme="0"/>
                </patternFill>
              </fill>
              <border>
                <vertical/>
                <horizontal/>
              </border>
            </x14:dxf>
          </x14:cfRule>
          <xm:sqref>N178</xm:sqref>
        </x14:conditionalFormatting>
        <x14:conditionalFormatting xmlns:xm="http://schemas.microsoft.com/office/excel/2006/main">
          <x14:cfRule type="expression" priority="999" id="{B52E7EFA-7B11-4DBB-A261-0F30E0B8B818}">
            <xm:f>$S$8='Assessment Details'!$Q$23</xm:f>
            <x14:dxf>
              <border>
                <left style="thin">
                  <color theme="0"/>
                </left>
                <right style="thin">
                  <color theme="0"/>
                </right>
                <top style="thin">
                  <color theme="0"/>
                </top>
                <bottom style="thin">
                  <color theme="0"/>
                </bottom>
                <vertical/>
                <horizontal/>
              </border>
            </x14:dxf>
          </x14:cfRule>
          <xm:sqref>N178</xm:sqref>
        </x14:conditionalFormatting>
        <x14:conditionalFormatting xmlns:xm="http://schemas.microsoft.com/office/excel/2006/main">
          <x14:cfRule type="expression" priority="996" id="{FCD7DC89-57F5-486F-A2F7-AF9377A04FA9}">
            <xm:f>$S$8='Assessment Details'!$Q$23</xm:f>
            <x14:dxf>
              <font>
                <color theme="0"/>
              </font>
              <fill>
                <patternFill>
                  <bgColor theme="0"/>
                </patternFill>
              </fill>
              <border>
                <vertical/>
                <horizontal/>
              </border>
            </x14:dxf>
          </x14:cfRule>
          <xm:sqref>N184</xm:sqref>
        </x14:conditionalFormatting>
        <x14:conditionalFormatting xmlns:xm="http://schemas.microsoft.com/office/excel/2006/main">
          <x14:cfRule type="expression" priority="995" id="{AB28594F-A99A-4757-BFE1-E7147E2E7D60}">
            <xm:f>$S$8='Assessment Details'!$Q$23</xm:f>
            <x14:dxf>
              <border>
                <left style="thin">
                  <color theme="0"/>
                </left>
                <right style="thin">
                  <color theme="0"/>
                </right>
                <top style="thin">
                  <color theme="0"/>
                </top>
                <bottom style="thin">
                  <color theme="0"/>
                </bottom>
                <vertical/>
                <horizontal/>
              </border>
            </x14:dxf>
          </x14:cfRule>
          <xm:sqref>N184</xm:sqref>
        </x14:conditionalFormatting>
        <x14:conditionalFormatting xmlns:xm="http://schemas.microsoft.com/office/excel/2006/main">
          <x14:cfRule type="expression" priority="992" id="{9F3666A8-497C-45D2-A62F-5030F38C5965}">
            <xm:f>$S$8='Assessment Details'!$Q$23</xm:f>
            <x14:dxf>
              <font>
                <color theme="0"/>
              </font>
              <fill>
                <patternFill>
                  <bgColor theme="0"/>
                </patternFill>
              </fill>
              <border>
                <vertical/>
                <horizontal/>
              </border>
            </x14:dxf>
          </x14:cfRule>
          <xm:sqref>N187</xm:sqref>
        </x14:conditionalFormatting>
        <x14:conditionalFormatting xmlns:xm="http://schemas.microsoft.com/office/excel/2006/main">
          <x14:cfRule type="expression" priority="991" id="{1F45E4FB-CB65-4365-B584-4E2C78889E6D}">
            <xm:f>$S$8='Assessment Details'!$Q$23</xm:f>
            <x14:dxf>
              <border>
                <left style="thin">
                  <color theme="0"/>
                </left>
                <right style="thin">
                  <color theme="0"/>
                </right>
                <top style="thin">
                  <color theme="0"/>
                </top>
                <bottom style="thin">
                  <color theme="0"/>
                </bottom>
                <vertical/>
                <horizontal/>
              </border>
            </x14:dxf>
          </x14:cfRule>
          <xm:sqref>N187</xm:sqref>
        </x14:conditionalFormatting>
        <x14:conditionalFormatting xmlns:xm="http://schemas.microsoft.com/office/excel/2006/main">
          <x14:cfRule type="expression" priority="988" id="{19AB23A2-C4DB-4818-8BF7-717483615861}">
            <xm:f>$Z$8='Assessment Details'!$Q$23</xm:f>
            <x14:dxf>
              <font>
                <color theme="0"/>
              </font>
              <fill>
                <patternFill>
                  <bgColor theme="0"/>
                </patternFill>
              </fill>
            </x14:dxf>
          </x14:cfRule>
          <xm:sqref>U56</xm:sqref>
        </x14:conditionalFormatting>
        <x14:conditionalFormatting xmlns:xm="http://schemas.microsoft.com/office/excel/2006/main">
          <x14:cfRule type="expression" priority="987" id="{3E522E31-31A2-4846-86B9-8C7E51FDE895}">
            <xm:f>$Z$8='Assessment Details'!$Q$23</xm:f>
            <x14:dxf>
              <border>
                <left style="thin">
                  <color theme="0"/>
                </left>
                <right style="thin">
                  <color theme="0"/>
                </right>
                <top style="thin">
                  <color theme="0"/>
                </top>
                <bottom style="thin">
                  <color theme="0"/>
                </bottom>
                <vertical/>
                <horizontal/>
              </border>
            </x14:dxf>
          </x14:cfRule>
          <xm:sqref>U56</xm:sqref>
        </x14:conditionalFormatting>
        <x14:conditionalFormatting xmlns:xm="http://schemas.microsoft.com/office/excel/2006/main">
          <x14:cfRule type="expression" priority="984" id="{E4F5CCB3-7DF2-44C2-997E-04B23439CC35}">
            <xm:f>$Z$8='Assessment Details'!$Q$23</xm:f>
            <x14:dxf>
              <font>
                <color theme="0"/>
              </font>
              <fill>
                <patternFill>
                  <bgColor theme="0"/>
                </patternFill>
              </fill>
            </x14:dxf>
          </x14:cfRule>
          <xm:sqref>U119</xm:sqref>
        </x14:conditionalFormatting>
        <x14:conditionalFormatting xmlns:xm="http://schemas.microsoft.com/office/excel/2006/main">
          <x14:cfRule type="expression" priority="983" id="{8997DEA7-1621-4987-8607-29D63DAFA6D9}">
            <xm:f>$Z$8='Assessment Details'!$Q$23</xm:f>
            <x14:dxf>
              <border>
                <left style="thin">
                  <color theme="0"/>
                </left>
                <right style="thin">
                  <color theme="0"/>
                </right>
                <top style="thin">
                  <color theme="0"/>
                </top>
                <bottom style="thin">
                  <color theme="0"/>
                </bottom>
                <vertical/>
                <horizontal/>
              </border>
            </x14:dxf>
          </x14:cfRule>
          <xm:sqref>U119</xm:sqref>
        </x14:conditionalFormatting>
        <x14:conditionalFormatting xmlns:xm="http://schemas.microsoft.com/office/excel/2006/main">
          <x14:cfRule type="expression" priority="980" id="{845251D0-00A1-4820-B1E0-5B0CE3E55951}">
            <xm:f>$Z$8='Assessment Details'!$Q$23</xm:f>
            <x14:dxf>
              <font>
                <color theme="0"/>
              </font>
              <fill>
                <patternFill>
                  <bgColor theme="0"/>
                </patternFill>
              </fill>
            </x14:dxf>
          </x14:cfRule>
          <xm:sqref>U123</xm:sqref>
        </x14:conditionalFormatting>
        <x14:conditionalFormatting xmlns:xm="http://schemas.microsoft.com/office/excel/2006/main">
          <x14:cfRule type="expression" priority="979" id="{B98DEB26-927B-4877-99F1-2CE26AB46A9B}">
            <xm:f>$Z$8='Assessment Details'!$Q$23</xm:f>
            <x14:dxf>
              <border>
                <left style="thin">
                  <color theme="0"/>
                </left>
                <right style="thin">
                  <color theme="0"/>
                </right>
                <top style="thin">
                  <color theme="0"/>
                </top>
                <bottom style="thin">
                  <color theme="0"/>
                </bottom>
                <vertical/>
                <horizontal/>
              </border>
            </x14:dxf>
          </x14:cfRule>
          <xm:sqref>U123</xm:sqref>
        </x14:conditionalFormatting>
        <x14:conditionalFormatting xmlns:xm="http://schemas.microsoft.com/office/excel/2006/main">
          <x14:cfRule type="expression" priority="976" id="{E89EA77A-3AB6-472C-B478-0F7F36629A8D}">
            <xm:f>$Z$8='Assessment Details'!$Q$23</xm:f>
            <x14:dxf>
              <font>
                <color theme="0"/>
              </font>
              <fill>
                <patternFill>
                  <bgColor theme="0"/>
                </patternFill>
              </fill>
            </x14:dxf>
          </x14:cfRule>
          <xm:sqref>U127</xm:sqref>
        </x14:conditionalFormatting>
        <x14:conditionalFormatting xmlns:xm="http://schemas.microsoft.com/office/excel/2006/main">
          <x14:cfRule type="expression" priority="975" id="{E7D0564C-754D-4F6B-B819-B61EA376CEC6}">
            <xm:f>$Z$8='Assessment Details'!$Q$23</xm:f>
            <x14:dxf>
              <border>
                <left style="thin">
                  <color theme="0"/>
                </left>
                <right style="thin">
                  <color theme="0"/>
                </right>
                <top style="thin">
                  <color theme="0"/>
                </top>
                <bottom style="thin">
                  <color theme="0"/>
                </bottom>
                <vertical/>
                <horizontal/>
              </border>
            </x14:dxf>
          </x14:cfRule>
          <xm:sqref>U127</xm:sqref>
        </x14:conditionalFormatting>
        <x14:conditionalFormatting xmlns:xm="http://schemas.microsoft.com/office/excel/2006/main">
          <x14:cfRule type="expression" priority="972" id="{BA63B402-31D2-466A-8162-759370F1C7A3}">
            <xm:f>$Z$8='Assessment Details'!$Q$23</xm:f>
            <x14:dxf>
              <font>
                <color theme="0"/>
              </font>
              <fill>
                <patternFill>
                  <bgColor theme="0"/>
                </patternFill>
              </fill>
            </x14:dxf>
          </x14:cfRule>
          <xm:sqref>U131</xm:sqref>
        </x14:conditionalFormatting>
        <x14:conditionalFormatting xmlns:xm="http://schemas.microsoft.com/office/excel/2006/main">
          <x14:cfRule type="expression" priority="971" id="{A2D58C98-B1D2-44EB-9399-01C5952BC14C}">
            <xm:f>$Z$8='Assessment Details'!$Q$23</xm:f>
            <x14:dxf>
              <border>
                <left style="thin">
                  <color theme="0"/>
                </left>
                <right style="thin">
                  <color theme="0"/>
                </right>
                <top style="thin">
                  <color theme="0"/>
                </top>
                <bottom style="thin">
                  <color theme="0"/>
                </bottom>
                <vertical/>
                <horizontal/>
              </border>
            </x14:dxf>
          </x14:cfRule>
          <xm:sqref>U131</xm:sqref>
        </x14:conditionalFormatting>
        <x14:conditionalFormatting xmlns:xm="http://schemas.microsoft.com/office/excel/2006/main">
          <x14:cfRule type="expression" priority="968" id="{CF7298BA-77B9-485A-9BE2-478440936C0B}">
            <xm:f>$Z$8='Assessment Details'!$Q$23</xm:f>
            <x14:dxf>
              <font>
                <color theme="0"/>
              </font>
              <fill>
                <patternFill>
                  <bgColor theme="0"/>
                </patternFill>
              </fill>
            </x14:dxf>
          </x14:cfRule>
          <xm:sqref>U167</xm:sqref>
        </x14:conditionalFormatting>
        <x14:conditionalFormatting xmlns:xm="http://schemas.microsoft.com/office/excel/2006/main">
          <x14:cfRule type="expression" priority="967" id="{D7CF9EF4-7D95-437D-807D-E4BEDB3B5C36}">
            <xm:f>$Z$8='Assessment Details'!$Q$23</xm:f>
            <x14:dxf>
              <border>
                <left style="thin">
                  <color theme="0"/>
                </left>
                <right style="thin">
                  <color theme="0"/>
                </right>
                <top style="thin">
                  <color theme="0"/>
                </top>
                <bottom style="thin">
                  <color theme="0"/>
                </bottom>
                <vertical/>
                <horizontal/>
              </border>
            </x14:dxf>
          </x14:cfRule>
          <xm:sqref>U167</xm:sqref>
        </x14:conditionalFormatting>
        <x14:conditionalFormatting xmlns:xm="http://schemas.microsoft.com/office/excel/2006/main">
          <x14:cfRule type="expression" priority="960" id="{9C5F1920-15C5-4D63-BF78-C867EE0D1066}">
            <xm:f>$Z$8='Assessment Details'!$Q$23</xm:f>
            <x14:dxf>
              <font>
                <color theme="0"/>
              </font>
              <fill>
                <patternFill>
                  <bgColor theme="0"/>
                </patternFill>
              </fill>
            </x14:dxf>
          </x14:cfRule>
          <xm:sqref>U174</xm:sqref>
        </x14:conditionalFormatting>
        <x14:conditionalFormatting xmlns:xm="http://schemas.microsoft.com/office/excel/2006/main">
          <x14:cfRule type="expression" priority="959" id="{2BF95581-B9FF-4EB8-ACA1-D5906B79080F}">
            <xm:f>$Z$8='Assessment Details'!$Q$23</xm:f>
            <x14:dxf>
              <border>
                <left style="thin">
                  <color theme="0"/>
                </left>
                <right style="thin">
                  <color theme="0"/>
                </right>
                <top style="thin">
                  <color theme="0"/>
                </top>
                <bottom style="thin">
                  <color theme="0"/>
                </bottom>
                <vertical/>
                <horizontal/>
              </border>
            </x14:dxf>
          </x14:cfRule>
          <xm:sqref>U174</xm:sqref>
        </x14:conditionalFormatting>
        <x14:conditionalFormatting xmlns:xm="http://schemas.microsoft.com/office/excel/2006/main">
          <x14:cfRule type="expression" priority="956" id="{24031FE4-1162-4B7D-898B-DBE9F537F491}">
            <xm:f>$Z$8='Assessment Details'!$Q$23</xm:f>
            <x14:dxf>
              <font>
                <color theme="0"/>
              </font>
              <fill>
                <patternFill>
                  <bgColor theme="0"/>
                </patternFill>
              </fill>
            </x14:dxf>
          </x14:cfRule>
          <xm:sqref>U178</xm:sqref>
        </x14:conditionalFormatting>
        <x14:conditionalFormatting xmlns:xm="http://schemas.microsoft.com/office/excel/2006/main">
          <x14:cfRule type="expression" priority="955" id="{60293951-1398-4DE9-B2F3-E03416288676}">
            <xm:f>$Z$8='Assessment Details'!$Q$23</xm:f>
            <x14:dxf>
              <border>
                <left style="thin">
                  <color theme="0"/>
                </left>
                <right style="thin">
                  <color theme="0"/>
                </right>
                <top style="thin">
                  <color theme="0"/>
                </top>
                <bottom style="thin">
                  <color theme="0"/>
                </bottom>
                <vertical/>
                <horizontal/>
              </border>
            </x14:dxf>
          </x14:cfRule>
          <xm:sqref>U178</xm:sqref>
        </x14:conditionalFormatting>
        <x14:conditionalFormatting xmlns:xm="http://schemas.microsoft.com/office/excel/2006/main">
          <x14:cfRule type="expression" priority="952" id="{9EF85750-6FC4-475C-8C83-DFB11D4C3DA0}">
            <xm:f>$Z$8='Assessment Details'!$Q$23</xm:f>
            <x14:dxf>
              <font>
                <color theme="0"/>
              </font>
              <fill>
                <patternFill>
                  <bgColor theme="0"/>
                </patternFill>
              </fill>
            </x14:dxf>
          </x14:cfRule>
          <xm:sqref>U184</xm:sqref>
        </x14:conditionalFormatting>
        <x14:conditionalFormatting xmlns:xm="http://schemas.microsoft.com/office/excel/2006/main">
          <x14:cfRule type="expression" priority="951" id="{6010812E-E8F6-4C2D-B2E1-5E66992EFB0A}">
            <xm:f>$Z$8='Assessment Details'!$Q$23</xm:f>
            <x14:dxf>
              <border>
                <left style="thin">
                  <color theme="0"/>
                </left>
                <right style="thin">
                  <color theme="0"/>
                </right>
                <top style="thin">
                  <color theme="0"/>
                </top>
                <bottom style="thin">
                  <color theme="0"/>
                </bottom>
                <vertical/>
                <horizontal/>
              </border>
            </x14:dxf>
          </x14:cfRule>
          <xm:sqref>U184</xm:sqref>
        </x14:conditionalFormatting>
        <x14:conditionalFormatting xmlns:xm="http://schemas.microsoft.com/office/excel/2006/main">
          <x14:cfRule type="expression" priority="948" id="{0D72CF25-68DE-4A74-8636-9DAF8D6D6513}">
            <xm:f>$Z$8='Assessment Details'!$Q$23</xm:f>
            <x14:dxf>
              <font>
                <color theme="0"/>
              </font>
              <fill>
                <patternFill>
                  <bgColor theme="0"/>
                </patternFill>
              </fill>
            </x14:dxf>
          </x14:cfRule>
          <xm:sqref>U187</xm:sqref>
        </x14:conditionalFormatting>
        <x14:conditionalFormatting xmlns:xm="http://schemas.microsoft.com/office/excel/2006/main">
          <x14:cfRule type="expression" priority="947" id="{0ADC0875-4C4C-4DE0-AB5F-F67641AFDAA8}">
            <xm:f>$Z$8='Assessment Details'!$Q$23</xm:f>
            <x14:dxf>
              <border>
                <left style="thin">
                  <color theme="0"/>
                </left>
                <right style="thin">
                  <color theme="0"/>
                </right>
                <top style="thin">
                  <color theme="0"/>
                </top>
                <bottom style="thin">
                  <color theme="0"/>
                </bottom>
                <vertical/>
                <horizontal/>
              </border>
            </x14:dxf>
          </x14:cfRule>
          <xm:sqref>U187</xm:sqref>
        </x14:conditionalFormatting>
        <x14:conditionalFormatting xmlns:xm="http://schemas.microsoft.com/office/excel/2006/main">
          <x14:cfRule type="expression" priority="933" id="{B2517199-400D-4E79-BB0C-8BD036B7C495}">
            <xm:f>$S$8='Assessment Details'!$Q$23</xm:f>
            <x14:dxf>
              <font>
                <color theme="0"/>
              </font>
              <fill>
                <patternFill>
                  <bgColor theme="0"/>
                </patternFill>
              </fill>
              <border>
                <vertical/>
                <horizontal/>
              </border>
            </x14:dxf>
          </x14:cfRule>
          <xm:sqref>N135</xm:sqref>
        </x14:conditionalFormatting>
        <x14:conditionalFormatting xmlns:xm="http://schemas.microsoft.com/office/excel/2006/main">
          <x14:cfRule type="expression" priority="932" id="{671B9F9F-87A1-4E8F-887D-B1C37FC1C2D5}">
            <xm:f>$S$8='Assessment Details'!$Q$23</xm:f>
            <x14:dxf>
              <border>
                <left style="thin">
                  <color theme="0"/>
                </left>
                <right style="thin">
                  <color theme="0"/>
                </right>
                <top style="thin">
                  <color theme="0"/>
                </top>
                <bottom style="thin">
                  <color theme="0"/>
                </bottom>
                <vertical/>
                <horizontal/>
              </border>
            </x14:dxf>
          </x14:cfRule>
          <xm:sqref>N135</xm:sqref>
        </x14:conditionalFormatting>
        <x14:conditionalFormatting xmlns:xm="http://schemas.microsoft.com/office/excel/2006/main">
          <x14:cfRule type="expression" priority="931" id="{9004D2A5-FAC0-4FD6-A1A8-2D89AC9273B1}">
            <xm:f>$Z$8='Assessment Details'!$Q$23</xm:f>
            <x14:dxf>
              <font>
                <color theme="0"/>
              </font>
              <fill>
                <patternFill>
                  <bgColor theme="0"/>
                </patternFill>
              </fill>
            </x14:dxf>
          </x14:cfRule>
          <xm:sqref>X135:Y135</xm:sqref>
        </x14:conditionalFormatting>
        <x14:conditionalFormatting xmlns:xm="http://schemas.microsoft.com/office/excel/2006/main">
          <x14:cfRule type="expression" priority="930" id="{EEC41F94-236D-4872-A8F1-79FE52E4D557}">
            <xm:f>$Z$8='Assessment Details'!$Q$23</xm:f>
            <x14:dxf>
              <border>
                <left style="thin">
                  <color theme="0"/>
                </left>
                <right style="thin">
                  <color theme="0"/>
                </right>
                <top style="thin">
                  <color theme="0"/>
                </top>
                <bottom style="thin">
                  <color theme="0"/>
                </bottom>
                <vertical/>
                <horizontal/>
              </border>
            </x14:dxf>
          </x14:cfRule>
          <xm:sqref>X135:Y135</xm:sqref>
        </x14:conditionalFormatting>
        <x14:conditionalFormatting xmlns:xm="http://schemas.microsoft.com/office/excel/2006/main">
          <x14:cfRule type="expression" priority="916" id="{78D933A3-BF0F-43E5-BA80-71B8ABB8CBE1}">
            <xm:f>$Z$8='Assessment Details'!$Q$23</xm:f>
            <x14:dxf>
              <font>
                <color theme="0"/>
              </font>
              <fill>
                <patternFill>
                  <bgColor theme="0"/>
                </patternFill>
              </fill>
            </x14:dxf>
          </x14:cfRule>
          <xm:sqref>U135</xm:sqref>
        </x14:conditionalFormatting>
        <x14:conditionalFormatting xmlns:xm="http://schemas.microsoft.com/office/excel/2006/main">
          <x14:cfRule type="expression" priority="915" id="{AB46B7D5-2DE9-49A4-8D5C-3ABCC6D206FD}">
            <xm:f>$Z$8='Assessment Details'!$Q$23</xm:f>
            <x14:dxf>
              <border>
                <left style="thin">
                  <color theme="0"/>
                </left>
                <right style="thin">
                  <color theme="0"/>
                </right>
                <top style="thin">
                  <color theme="0"/>
                </top>
                <bottom style="thin">
                  <color theme="0"/>
                </bottom>
                <vertical/>
                <horizontal/>
              </border>
            </x14:dxf>
          </x14:cfRule>
          <xm:sqref>U135</xm:sqref>
        </x14:conditionalFormatting>
        <x14:conditionalFormatting xmlns:xm="http://schemas.microsoft.com/office/excel/2006/main">
          <x14:cfRule type="expression" priority="896" id="{385BE2E3-500F-401D-920E-E2C9CC87D169}">
            <xm:f>$S$8='Assessment Details'!$Q$23</xm:f>
            <x14:dxf>
              <font>
                <color theme="0"/>
              </font>
              <fill>
                <patternFill>
                  <bgColor theme="0"/>
                </patternFill>
              </fill>
              <border>
                <vertical/>
                <horizontal/>
              </border>
            </x14:dxf>
          </x14:cfRule>
          <xm:sqref>N197</xm:sqref>
        </x14:conditionalFormatting>
        <x14:conditionalFormatting xmlns:xm="http://schemas.microsoft.com/office/excel/2006/main">
          <x14:cfRule type="expression" priority="895" id="{636614CB-6B0E-4EB8-B6D3-15814EEAE26C}">
            <xm:f>$S$8='Assessment Details'!$Q$23</xm:f>
            <x14:dxf>
              <border>
                <left style="thin">
                  <color theme="0"/>
                </left>
                <right style="thin">
                  <color theme="0"/>
                </right>
                <top style="thin">
                  <color theme="0"/>
                </top>
                <bottom style="thin">
                  <color theme="0"/>
                </bottom>
                <vertical/>
                <horizontal/>
              </border>
            </x14:dxf>
          </x14:cfRule>
          <xm:sqref>N197</xm:sqref>
        </x14:conditionalFormatting>
        <x14:conditionalFormatting xmlns:xm="http://schemas.microsoft.com/office/excel/2006/main">
          <x14:cfRule type="expression" priority="894" id="{70D6E1F0-AB43-49B6-A6D2-18A2BF9BD4BF}">
            <xm:f>$Z$8='Assessment Details'!$Q$23</xm:f>
            <x14:dxf>
              <font>
                <color theme="0"/>
              </font>
              <fill>
                <patternFill>
                  <bgColor theme="0"/>
                </patternFill>
              </fill>
            </x14:dxf>
          </x14:cfRule>
          <xm:sqref>X197:Y197</xm:sqref>
        </x14:conditionalFormatting>
        <x14:conditionalFormatting xmlns:xm="http://schemas.microsoft.com/office/excel/2006/main">
          <x14:cfRule type="expression" priority="893" id="{C3ABDC6B-708E-47E9-BD59-2E270BA64C81}">
            <xm:f>$Z$8='Assessment Details'!$Q$23</xm:f>
            <x14:dxf>
              <border>
                <left style="thin">
                  <color theme="0"/>
                </left>
                <right style="thin">
                  <color theme="0"/>
                </right>
                <top style="thin">
                  <color theme="0"/>
                </top>
                <bottom style="thin">
                  <color theme="0"/>
                </bottom>
                <vertical/>
                <horizontal/>
              </border>
            </x14:dxf>
          </x14:cfRule>
          <xm:sqref>X197:Y197</xm:sqref>
        </x14:conditionalFormatting>
        <x14:conditionalFormatting xmlns:xm="http://schemas.microsoft.com/office/excel/2006/main">
          <x14:cfRule type="expression" priority="892" id="{36FE6BB4-476A-426A-BD77-348A14FCB506}">
            <xm:f>$Z$8='Assessment Details'!$Q$23</xm:f>
            <x14:dxf>
              <font>
                <color theme="0"/>
              </font>
              <fill>
                <patternFill>
                  <bgColor theme="0"/>
                </patternFill>
              </fill>
            </x14:dxf>
          </x14:cfRule>
          <xm:sqref>U197</xm:sqref>
        </x14:conditionalFormatting>
        <x14:conditionalFormatting xmlns:xm="http://schemas.microsoft.com/office/excel/2006/main">
          <x14:cfRule type="expression" priority="891" id="{163E1F5B-646D-4C32-8017-FA50D55ADAF7}">
            <xm:f>$Z$8='Assessment Details'!$Q$23</xm:f>
            <x14:dxf>
              <border>
                <left style="thin">
                  <color theme="0"/>
                </left>
                <right style="thin">
                  <color theme="0"/>
                </right>
                <top style="thin">
                  <color theme="0"/>
                </top>
                <bottom style="thin">
                  <color theme="0"/>
                </bottom>
                <vertical/>
                <horizontal/>
              </border>
            </x14:dxf>
          </x14:cfRule>
          <xm:sqref>U197</xm:sqref>
        </x14:conditionalFormatting>
        <x14:conditionalFormatting xmlns:xm="http://schemas.microsoft.com/office/excel/2006/main">
          <x14:cfRule type="expression" priority="885" id="{A9A358BE-AE04-490A-B2F6-E1AF02BEC657}">
            <xm:f>$S$8='Assessment Details'!$Q$23</xm:f>
            <x14:dxf>
              <font>
                <color theme="0"/>
              </font>
              <fill>
                <patternFill>
                  <bgColor theme="0"/>
                </patternFill>
              </fill>
              <border>
                <vertical/>
                <horizontal/>
              </border>
            </x14:dxf>
          </x14:cfRule>
          <xm:sqref>Q196:R196</xm:sqref>
        </x14:conditionalFormatting>
        <x14:conditionalFormatting xmlns:xm="http://schemas.microsoft.com/office/excel/2006/main">
          <x14:cfRule type="expression" priority="884" id="{CAC97284-68A8-41C8-AD4C-2463D87E9601}">
            <xm:f>$S$8='Assessment Details'!$Q$23</xm:f>
            <x14:dxf>
              <border>
                <left style="thin">
                  <color theme="0"/>
                </left>
                <right style="thin">
                  <color theme="0"/>
                </right>
                <top style="thin">
                  <color theme="0"/>
                </top>
                <bottom style="thin">
                  <color theme="0"/>
                </bottom>
                <vertical/>
                <horizontal/>
              </border>
            </x14:dxf>
          </x14:cfRule>
          <xm:sqref>Q196:R196</xm:sqref>
        </x14:conditionalFormatting>
        <x14:conditionalFormatting xmlns:xm="http://schemas.microsoft.com/office/excel/2006/main">
          <x14:cfRule type="expression" priority="871" id="{E80368FD-C2FC-46DB-B8AC-3633FFC17C20}">
            <xm:f>$S$8='Assessment Details'!$Q$23</xm:f>
            <x14:dxf>
              <font>
                <color theme="0"/>
              </font>
              <fill>
                <patternFill>
                  <bgColor theme="0"/>
                </patternFill>
              </fill>
              <border>
                <vertical/>
                <horizontal/>
              </border>
            </x14:dxf>
          </x14:cfRule>
          <xm:sqref>N196</xm:sqref>
        </x14:conditionalFormatting>
        <x14:conditionalFormatting xmlns:xm="http://schemas.microsoft.com/office/excel/2006/main">
          <x14:cfRule type="expression" priority="870" id="{BD2F9586-8A9C-4136-BEF7-6BE1F2EAB39B}">
            <xm:f>$S$8='Assessment Details'!$Q$23</xm:f>
            <x14:dxf>
              <border>
                <left style="thin">
                  <color theme="0"/>
                </left>
                <right style="thin">
                  <color theme="0"/>
                </right>
                <top style="thin">
                  <color theme="0"/>
                </top>
                <bottom style="thin">
                  <color theme="0"/>
                </bottom>
                <vertical/>
                <horizontal/>
              </border>
            </x14:dxf>
          </x14:cfRule>
          <xm:sqref>N196</xm:sqref>
        </x14:conditionalFormatting>
        <x14:conditionalFormatting xmlns:xm="http://schemas.microsoft.com/office/excel/2006/main">
          <x14:cfRule type="expression" priority="867" id="{878A2DCC-515D-4CD5-8B70-E72BA35F09A6}">
            <xm:f>$Z$8='Assessment Details'!$Q$23</xm:f>
            <x14:dxf>
              <font>
                <color theme="0"/>
              </font>
              <fill>
                <patternFill>
                  <bgColor theme="0"/>
                </patternFill>
              </fill>
            </x14:dxf>
          </x14:cfRule>
          <xm:sqref>U196</xm:sqref>
        </x14:conditionalFormatting>
        <x14:conditionalFormatting xmlns:xm="http://schemas.microsoft.com/office/excel/2006/main">
          <x14:cfRule type="expression" priority="866" id="{6603C269-79BC-4AF0-A48B-5E9E9B275056}">
            <xm:f>$Z$8='Assessment Details'!$Q$23</xm:f>
            <x14:dxf>
              <border>
                <left style="thin">
                  <color theme="0"/>
                </left>
                <right style="thin">
                  <color theme="0"/>
                </right>
                <top style="thin">
                  <color theme="0"/>
                </top>
                <bottom style="thin">
                  <color theme="0"/>
                </bottom>
                <vertical/>
                <horizontal/>
              </border>
            </x14:dxf>
          </x14:cfRule>
          <xm:sqref>U196</xm:sqref>
        </x14:conditionalFormatting>
        <x14:conditionalFormatting xmlns:xm="http://schemas.microsoft.com/office/excel/2006/main">
          <x14:cfRule type="expression" priority="847" id="{BDE5FF22-764F-4950-97D5-79695EA58120}">
            <xm:f>$S$8='Assessment Details'!$Q$23</xm:f>
            <x14:dxf>
              <font>
                <color theme="0"/>
              </font>
              <fill>
                <patternFill>
                  <bgColor theme="0"/>
                </patternFill>
              </fill>
              <border>
                <vertical/>
                <horizontal/>
              </border>
            </x14:dxf>
          </x14:cfRule>
          <xm:sqref>N25</xm:sqref>
        </x14:conditionalFormatting>
        <x14:conditionalFormatting xmlns:xm="http://schemas.microsoft.com/office/excel/2006/main">
          <x14:cfRule type="expression" priority="846" id="{2979B6A3-9751-4B14-A22B-92822002F447}">
            <xm:f>$S$8='Assessment Details'!$Q$23</xm:f>
            <x14:dxf>
              <border>
                <left style="thin">
                  <color theme="0"/>
                </left>
                <right style="thin">
                  <color theme="0"/>
                </right>
                <top style="thin">
                  <color theme="0"/>
                </top>
                <bottom style="thin">
                  <color theme="0"/>
                </bottom>
                <vertical/>
                <horizontal/>
              </border>
            </x14:dxf>
          </x14:cfRule>
          <xm:sqref>N25</xm:sqref>
        </x14:conditionalFormatting>
        <x14:conditionalFormatting xmlns:xm="http://schemas.microsoft.com/office/excel/2006/main">
          <x14:cfRule type="expression" priority="845" id="{CEEB2D4F-6911-4CB4-B1F4-C0EC8691A8CA}">
            <xm:f>$Z$8='Assessment Details'!$Q$23</xm:f>
            <x14:dxf>
              <font>
                <color theme="0"/>
              </font>
              <fill>
                <patternFill>
                  <bgColor theme="0"/>
                </patternFill>
              </fill>
            </x14:dxf>
          </x14:cfRule>
          <xm:sqref>X25:Y25</xm:sqref>
        </x14:conditionalFormatting>
        <x14:conditionalFormatting xmlns:xm="http://schemas.microsoft.com/office/excel/2006/main">
          <x14:cfRule type="expression" priority="844" id="{16AFEB61-6668-40A8-8FEC-02DF69DC0172}">
            <xm:f>$Z$8='Assessment Details'!$Q$23</xm:f>
            <x14:dxf>
              <border>
                <left style="thin">
                  <color theme="0"/>
                </left>
                <right style="thin">
                  <color theme="0"/>
                </right>
                <top style="thin">
                  <color theme="0"/>
                </top>
                <bottom style="thin">
                  <color theme="0"/>
                </bottom>
                <vertical/>
                <horizontal/>
              </border>
            </x14:dxf>
          </x14:cfRule>
          <xm:sqref>X25:Y25</xm:sqref>
        </x14:conditionalFormatting>
        <x14:conditionalFormatting xmlns:xm="http://schemas.microsoft.com/office/excel/2006/main">
          <x14:cfRule type="expression" priority="838" id="{B9198C9F-E0E7-4C7D-8A1F-625074EF54F5}">
            <xm:f>$Z$8='Assessment Details'!$Q$23</xm:f>
            <x14:dxf>
              <font>
                <color theme="0"/>
              </font>
              <fill>
                <patternFill>
                  <bgColor theme="0"/>
                </patternFill>
              </fill>
            </x14:dxf>
          </x14:cfRule>
          <xm:sqref>U25</xm:sqref>
        </x14:conditionalFormatting>
        <x14:conditionalFormatting xmlns:xm="http://schemas.microsoft.com/office/excel/2006/main">
          <x14:cfRule type="expression" priority="837" id="{BFFC2934-A5C3-473F-8B38-72DEA75E0879}">
            <xm:f>$Z$8='Assessment Details'!$Q$23</xm:f>
            <x14:dxf>
              <border>
                <left style="thin">
                  <color theme="0"/>
                </left>
                <right style="thin">
                  <color theme="0"/>
                </right>
                <top style="thin">
                  <color theme="0"/>
                </top>
                <bottom style="thin">
                  <color theme="0"/>
                </bottom>
                <vertical/>
                <horizontal/>
              </border>
            </x14:dxf>
          </x14:cfRule>
          <xm:sqref>U25</xm:sqref>
        </x14:conditionalFormatting>
        <x14:conditionalFormatting xmlns:xm="http://schemas.microsoft.com/office/excel/2006/main">
          <x14:cfRule type="expression" priority="818" id="{056CBADF-F4D1-40B8-A066-F2B999D51E32}">
            <xm:f>$S$8='Assessment Details'!$Q$23</xm:f>
            <x14:dxf>
              <font>
                <color theme="0"/>
              </font>
              <fill>
                <patternFill>
                  <bgColor theme="0"/>
                </patternFill>
              </fill>
              <border>
                <vertical/>
                <horizontal/>
              </border>
            </x14:dxf>
          </x14:cfRule>
          <xm:sqref>N26</xm:sqref>
        </x14:conditionalFormatting>
        <x14:conditionalFormatting xmlns:xm="http://schemas.microsoft.com/office/excel/2006/main">
          <x14:cfRule type="expression" priority="817" id="{D8E3BCA5-64FC-4B4A-85B4-098B22AC9517}">
            <xm:f>$S$8='Assessment Details'!$Q$23</xm:f>
            <x14:dxf>
              <border>
                <left style="thin">
                  <color theme="0"/>
                </left>
                <right style="thin">
                  <color theme="0"/>
                </right>
                <top style="thin">
                  <color theme="0"/>
                </top>
                <bottom style="thin">
                  <color theme="0"/>
                </bottom>
                <vertical/>
                <horizontal/>
              </border>
            </x14:dxf>
          </x14:cfRule>
          <xm:sqref>N26</xm:sqref>
        </x14:conditionalFormatting>
        <x14:conditionalFormatting xmlns:xm="http://schemas.microsoft.com/office/excel/2006/main">
          <x14:cfRule type="expression" priority="816" id="{4CF4F4F0-C7CE-4D35-BFC6-31BEBFEB74CC}">
            <xm:f>$Z$8='Assessment Details'!$Q$23</xm:f>
            <x14:dxf>
              <font>
                <color theme="0"/>
              </font>
              <fill>
                <patternFill>
                  <bgColor theme="0"/>
                </patternFill>
              </fill>
            </x14:dxf>
          </x14:cfRule>
          <xm:sqref>X26:Y26</xm:sqref>
        </x14:conditionalFormatting>
        <x14:conditionalFormatting xmlns:xm="http://schemas.microsoft.com/office/excel/2006/main">
          <x14:cfRule type="expression" priority="815" id="{44CB9297-D4F2-4941-8CF7-161148476ADE}">
            <xm:f>$Z$8='Assessment Details'!$Q$23</xm:f>
            <x14:dxf>
              <border>
                <left style="thin">
                  <color theme="0"/>
                </left>
                <right style="thin">
                  <color theme="0"/>
                </right>
                <top style="thin">
                  <color theme="0"/>
                </top>
                <bottom style="thin">
                  <color theme="0"/>
                </bottom>
                <vertical/>
                <horizontal/>
              </border>
            </x14:dxf>
          </x14:cfRule>
          <xm:sqref>X26:Y26</xm:sqref>
        </x14:conditionalFormatting>
        <x14:conditionalFormatting xmlns:xm="http://schemas.microsoft.com/office/excel/2006/main">
          <x14:cfRule type="expression" priority="809" id="{A1124C2E-2CE1-4778-BC0F-B3175E84C11D}">
            <xm:f>$Z$8='Assessment Details'!$Q$23</xm:f>
            <x14:dxf>
              <font>
                <color theme="0"/>
              </font>
              <fill>
                <patternFill>
                  <bgColor theme="0"/>
                </patternFill>
              </fill>
            </x14:dxf>
          </x14:cfRule>
          <xm:sqref>U26</xm:sqref>
        </x14:conditionalFormatting>
        <x14:conditionalFormatting xmlns:xm="http://schemas.microsoft.com/office/excel/2006/main">
          <x14:cfRule type="expression" priority="808" id="{DFFD3404-113B-426E-8669-4775A0CD70DD}">
            <xm:f>$Z$8='Assessment Details'!$Q$23</xm:f>
            <x14:dxf>
              <border>
                <left style="thin">
                  <color theme="0"/>
                </left>
                <right style="thin">
                  <color theme="0"/>
                </right>
                <top style="thin">
                  <color theme="0"/>
                </top>
                <bottom style="thin">
                  <color theme="0"/>
                </bottom>
                <vertical/>
                <horizontal/>
              </border>
            </x14:dxf>
          </x14:cfRule>
          <xm:sqref>U26</xm:sqref>
        </x14:conditionalFormatting>
        <x14:conditionalFormatting xmlns:xm="http://schemas.microsoft.com/office/excel/2006/main">
          <x14:cfRule type="expression" priority="790" id="{5A63F7A5-EDFA-41B7-9A2B-2E3B5AC6501F}">
            <xm:f>$S$8='Assessment Details'!$Q$23</xm:f>
            <x14:dxf>
              <font>
                <color theme="0"/>
              </font>
              <fill>
                <patternFill>
                  <bgColor theme="0"/>
                </patternFill>
              </fill>
              <border>
                <vertical/>
                <horizontal/>
              </border>
            </x14:dxf>
          </x14:cfRule>
          <xm:sqref>N85</xm:sqref>
        </x14:conditionalFormatting>
        <x14:conditionalFormatting xmlns:xm="http://schemas.microsoft.com/office/excel/2006/main">
          <x14:cfRule type="expression" priority="789" id="{A2822926-0CDC-469D-810E-34D85549DB66}">
            <xm:f>$S$8='Assessment Details'!$Q$23</xm:f>
            <x14:dxf>
              <border>
                <left style="thin">
                  <color theme="0"/>
                </left>
                <right style="thin">
                  <color theme="0"/>
                </right>
                <top style="thin">
                  <color theme="0"/>
                </top>
                <bottom style="thin">
                  <color theme="0"/>
                </bottom>
                <vertical/>
                <horizontal/>
              </border>
            </x14:dxf>
          </x14:cfRule>
          <xm:sqref>N85</xm:sqref>
        </x14:conditionalFormatting>
        <x14:conditionalFormatting xmlns:xm="http://schemas.microsoft.com/office/excel/2006/main">
          <x14:cfRule type="expression" priority="788" id="{609FE846-1353-46BF-8A8E-52297A2A302F}">
            <xm:f>$Z$8='Assessment Details'!$Q$23</xm:f>
            <x14:dxf>
              <font>
                <color theme="0"/>
              </font>
              <fill>
                <patternFill>
                  <bgColor theme="0"/>
                </patternFill>
              </fill>
            </x14:dxf>
          </x14:cfRule>
          <xm:sqref>X85:Y85</xm:sqref>
        </x14:conditionalFormatting>
        <x14:conditionalFormatting xmlns:xm="http://schemas.microsoft.com/office/excel/2006/main">
          <x14:cfRule type="expression" priority="787" id="{813441FB-141C-4C98-AD40-F988DC41CADD}">
            <xm:f>$Z$8='Assessment Details'!$Q$23</xm:f>
            <x14:dxf>
              <border>
                <left style="thin">
                  <color theme="0"/>
                </left>
                <right style="thin">
                  <color theme="0"/>
                </right>
                <top style="thin">
                  <color theme="0"/>
                </top>
                <bottom style="thin">
                  <color theme="0"/>
                </bottom>
                <vertical/>
                <horizontal/>
              </border>
            </x14:dxf>
          </x14:cfRule>
          <xm:sqref>X85:Y85</xm:sqref>
        </x14:conditionalFormatting>
        <x14:conditionalFormatting xmlns:xm="http://schemas.microsoft.com/office/excel/2006/main">
          <x14:cfRule type="expression" priority="773" id="{7D01B325-A133-4A43-8630-C038C0769CE1}">
            <xm:f>$Z$8='Assessment Details'!$Q$23</xm:f>
            <x14:dxf>
              <font>
                <color theme="0"/>
              </font>
              <fill>
                <patternFill>
                  <bgColor theme="0"/>
                </patternFill>
              </fill>
            </x14:dxf>
          </x14:cfRule>
          <xm:sqref>U85</xm:sqref>
        </x14:conditionalFormatting>
        <x14:conditionalFormatting xmlns:xm="http://schemas.microsoft.com/office/excel/2006/main">
          <x14:cfRule type="expression" priority="772" id="{8C95A82D-2DB8-47B8-A590-797014BCF744}">
            <xm:f>$Z$8='Assessment Details'!$Q$23</xm:f>
            <x14:dxf>
              <border>
                <left style="thin">
                  <color theme="0"/>
                </left>
                <right style="thin">
                  <color theme="0"/>
                </right>
                <top style="thin">
                  <color theme="0"/>
                </top>
                <bottom style="thin">
                  <color theme="0"/>
                </bottom>
                <vertical/>
                <horizontal/>
              </border>
            </x14:dxf>
          </x14:cfRule>
          <xm:sqref>U85</xm:sqref>
        </x14:conditionalFormatting>
        <x14:conditionalFormatting xmlns:xm="http://schemas.microsoft.com/office/excel/2006/main">
          <x14:cfRule type="expression" priority="755" id="{69C310A9-BDC7-4B47-82CD-FC12E23ACA02}">
            <xm:f>$S$8='Assessment Details'!$Q$23</xm:f>
            <x14:dxf>
              <font>
                <color theme="0"/>
              </font>
              <fill>
                <patternFill>
                  <bgColor theme="0"/>
                </patternFill>
              </fill>
              <border>
                <vertical/>
                <horizontal/>
              </border>
            </x14:dxf>
          </x14:cfRule>
          <xm:sqref>Q99:R99</xm:sqref>
        </x14:conditionalFormatting>
        <x14:conditionalFormatting xmlns:xm="http://schemas.microsoft.com/office/excel/2006/main">
          <x14:cfRule type="expression" priority="754" id="{8866C9EC-AA27-438F-8DEF-B357553BAA70}">
            <xm:f>$S$8='Assessment Details'!$Q$23</xm:f>
            <x14:dxf>
              <border>
                <left style="thin">
                  <color theme="0"/>
                </left>
                <right style="thin">
                  <color theme="0"/>
                </right>
                <top style="thin">
                  <color theme="0"/>
                </top>
                <bottom style="thin">
                  <color theme="0"/>
                </bottom>
                <vertical/>
                <horizontal/>
              </border>
            </x14:dxf>
          </x14:cfRule>
          <xm:sqref>Q99:R99</xm:sqref>
        </x14:conditionalFormatting>
        <x14:conditionalFormatting xmlns:xm="http://schemas.microsoft.com/office/excel/2006/main">
          <x14:cfRule type="expression" priority="753" id="{369EE6F7-B847-4C15-9E39-4DF832F655E4}">
            <xm:f>$Z$8='Assessment Details'!$Q$23</xm:f>
            <x14:dxf>
              <font>
                <color theme="0"/>
              </font>
              <fill>
                <patternFill>
                  <bgColor theme="0"/>
                </patternFill>
              </fill>
            </x14:dxf>
          </x14:cfRule>
          <xm:sqref>X99:Y99</xm:sqref>
        </x14:conditionalFormatting>
        <x14:conditionalFormatting xmlns:xm="http://schemas.microsoft.com/office/excel/2006/main">
          <x14:cfRule type="expression" priority="752" id="{DA9FEB1E-44CE-403C-8B7D-2BDCE1D252BF}">
            <xm:f>$Z$8='Assessment Details'!$Q$23</xm:f>
            <x14:dxf>
              <border>
                <left style="thin">
                  <color theme="0"/>
                </left>
                <right style="thin">
                  <color theme="0"/>
                </right>
                <top style="thin">
                  <color theme="0"/>
                </top>
                <bottom style="thin">
                  <color theme="0"/>
                </bottom>
                <vertical/>
                <horizontal/>
              </border>
            </x14:dxf>
          </x14:cfRule>
          <xm:sqref>X99:Y99</xm:sqref>
        </x14:conditionalFormatting>
        <x14:conditionalFormatting xmlns:xm="http://schemas.microsoft.com/office/excel/2006/main">
          <x14:cfRule type="expression" priority="738" id="{2ACB8806-BB00-4EEF-9AEF-4CAF9A1EE119}">
            <xm:f>$S$8='Assessment Details'!$Q$23</xm:f>
            <x14:dxf>
              <font>
                <color theme="0"/>
              </font>
              <fill>
                <patternFill>
                  <bgColor theme="0"/>
                </patternFill>
              </fill>
              <border>
                <vertical/>
                <horizontal/>
              </border>
            </x14:dxf>
          </x14:cfRule>
          <xm:sqref>N99</xm:sqref>
        </x14:conditionalFormatting>
        <x14:conditionalFormatting xmlns:xm="http://schemas.microsoft.com/office/excel/2006/main">
          <x14:cfRule type="expression" priority="737" id="{F31C36FB-66C8-460F-8266-75E37A5CC967}">
            <xm:f>$S$8='Assessment Details'!$Q$23</xm:f>
            <x14:dxf>
              <border>
                <left style="thin">
                  <color theme="0"/>
                </left>
                <right style="thin">
                  <color theme="0"/>
                </right>
                <top style="thin">
                  <color theme="0"/>
                </top>
                <bottom style="thin">
                  <color theme="0"/>
                </bottom>
                <vertical/>
                <horizontal/>
              </border>
            </x14:dxf>
          </x14:cfRule>
          <xm:sqref>N99</xm:sqref>
        </x14:conditionalFormatting>
        <x14:conditionalFormatting xmlns:xm="http://schemas.microsoft.com/office/excel/2006/main">
          <x14:cfRule type="expression" priority="734" id="{3D434EE4-339E-4213-A321-7B3E76D92597}">
            <xm:f>$Z$8='Assessment Details'!$Q$23</xm:f>
            <x14:dxf>
              <font>
                <color theme="0"/>
              </font>
              <fill>
                <patternFill>
                  <bgColor theme="0"/>
                </patternFill>
              </fill>
            </x14:dxf>
          </x14:cfRule>
          <xm:sqref>U99</xm:sqref>
        </x14:conditionalFormatting>
        <x14:conditionalFormatting xmlns:xm="http://schemas.microsoft.com/office/excel/2006/main">
          <x14:cfRule type="expression" priority="733" id="{983395C1-0379-4A53-B586-C7BB4E5634B8}">
            <xm:f>$Z$8='Assessment Details'!$Q$23</xm:f>
            <x14:dxf>
              <border>
                <left style="thin">
                  <color theme="0"/>
                </left>
                <right style="thin">
                  <color theme="0"/>
                </right>
                <top style="thin">
                  <color theme="0"/>
                </top>
                <bottom style="thin">
                  <color theme="0"/>
                </bottom>
                <vertical/>
                <horizontal/>
              </border>
            </x14:dxf>
          </x14:cfRule>
          <xm:sqref>U99</xm:sqref>
        </x14:conditionalFormatting>
        <x14:conditionalFormatting xmlns:xm="http://schemas.microsoft.com/office/excel/2006/main">
          <x14:cfRule type="expression" priority="723" id="{A8780FD0-5326-4D6A-AA5A-EF2B796DECD5}">
            <xm:f>$Z$8='Assessment Details'!$Q$23</xm:f>
            <x14:dxf>
              <font>
                <color theme="0"/>
              </font>
              <fill>
                <patternFill>
                  <bgColor theme="0"/>
                </patternFill>
              </fill>
            </x14:dxf>
          </x14:cfRule>
          <xm:sqref>X15:Y15</xm:sqref>
        </x14:conditionalFormatting>
        <x14:conditionalFormatting xmlns:xm="http://schemas.microsoft.com/office/excel/2006/main">
          <x14:cfRule type="expression" priority="722" id="{7D95453C-5677-4440-BFDC-5F1E0D951658}">
            <xm:f>$Z$8='Assessment Details'!$Q$23</xm:f>
            <x14:dxf>
              <border>
                <left style="thin">
                  <color theme="0"/>
                </left>
                <right style="thin">
                  <color theme="0"/>
                </right>
                <top style="thin">
                  <color theme="0"/>
                </top>
                <bottom style="thin">
                  <color theme="0"/>
                </bottom>
                <vertical/>
                <horizontal/>
              </border>
            </x14:dxf>
          </x14:cfRule>
          <xm:sqref>X15:Y15</xm:sqref>
        </x14:conditionalFormatting>
        <x14:conditionalFormatting xmlns:xm="http://schemas.microsoft.com/office/excel/2006/main">
          <x14:cfRule type="expression" priority="718" id="{FCAF0747-B7DD-45B9-9D71-FD5596F44912}">
            <xm:f>$Z$8='Assessment Details'!$Q$23</xm:f>
            <x14:dxf>
              <font>
                <color theme="0"/>
              </font>
              <fill>
                <patternFill>
                  <bgColor theme="0"/>
                </patternFill>
              </fill>
            </x14:dxf>
          </x14:cfRule>
          <xm:sqref>U15</xm:sqref>
        </x14:conditionalFormatting>
        <x14:conditionalFormatting xmlns:xm="http://schemas.microsoft.com/office/excel/2006/main">
          <x14:cfRule type="expression" priority="717" id="{8A10B796-3553-48A3-A8D4-D6C07CC5F03D}">
            <xm:f>$Z$8='Assessment Details'!$Q$23</xm:f>
            <x14:dxf>
              <border>
                <left style="thin">
                  <color theme="0"/>
                </left>
                <right style="thin">
                  <color theme="0"/>
                </right>
                <top style="thin">
                  <color theme="0"/>
                </top>
                <bottom style="thin">
                  <color theme="0"/>
                </bottom>
                <vertical/>
                <horizontal/>
              </border>
            </x14:dxf>
          </x14:cfRule>
          <xm:sqref>U15</xm:sqref>
        </x14:conditionalFormatting>
        <x14:conditionalFormatting xmlns:xm="http://schemas.microsoft.com/office/excel/2006/main">
          <x14:cfRule type="expression" priority="686" id="{1814D816-8456-4F4E-A505-94BF373FFA61}">
            <xm:f>$S$8='Assessment Details'!$Q$23</xm:f>
            <x14:dxf>
              <font>
                <color theme="0"/>
              </font>
              <fill>
                <patternFill>
                  <bgColor theme="0"/>
                </patternFill>
              </fill>
              <border>
                <vertical/>
                <horizontal/>
              </border>
            </x14:dxf>
          </x14:cfRule>
          <xm:sqref>P36:P37</xm:sqref>
        </x14:conditionalFormatting>
        <x14:conditionalFormatting xmlns:xm="http://schemas.microsoft.com/office/excel/2006/main">
          <x14:cfRule type="expression" priority="685" id="{8648F252-ED19-4266-80EA-94115D554B1E}">
            <xm:f>$S$8='Assessment Details'!$Q$23</xm:f>
            <x14:dxf>
              <border>
                <left style="thin">
                  <color theme="0"/>
                </left>
                <right style="thin">
                  <color theme="0"/>
                </right>
                <top style="thin">
                  <color theme="0"/>
                </top>
                <bottom style="thin">
                  <color theme="0"/>
                </bottom>
                <vertical/>
                <horizontal/>
              </border>
            </x14:dxf>
          </x14:cfRule>
          <xm:sqref>P36:P37</xm:sqref>
        </x14:conditionalFormatting>
        <x14:conditionalFormatting xmlns:xm="http://schemas.microsoft.com/office/excel/2006/main">
          <x14:cfRule type="expression" priority="679" id="{9A0ECD73-169E-4688-A925-E62F5A4942F3}">
            <xm:f>$S$8='Assessment Details'!$Q$23</xm:f>
            <x14:dxf>
              <font>
                <color theme="0"/>
              </font>
              <fill>
                <patternFill>
                  <bgColor theme="0"/>
                </patternFill>
              </fill>
              <border>
                <vertical/>
                <horizontal/>
              </border>
            </x14:dxf>
          </x14:cfRule>
          <xm:sqref>P64:P65</xm:sqref>
        </x14:conditionalFormatting>
        <x14:conditionalFormatting xmlns:xm="http://schemas.microsoft.com/office/excel/2006/main">
          <x14:cfRule type="expression" priority="678" id="{EBE9A871-3F99-4979-A4F4-2335F98EF000}">
            <xm:f>$S$8='Assessment Details'!$Q$23</xm:f>
            <x14:dxf>
              <border>
                <left style="thin">
                  <color theme="0"/>
                </left>
                <right style="thin">
                  <color theme="0"/>
                </right>
                <top style="thin">
                  <color theme="0"/>
                </top>
                <bottom style="thin">
                  <color theme="0"/>
                </bottom>
                <vertical/>
                <horizontal/>
              </border>
            </x14:dxf>
          </x14:cfRule>
          <xm:sqref>P64:P65</xm:sqref>
        </x14:conditionalFormatting>
        <x14:conditionalFormatting xmlns:xm="http://schemas.microsoft.com/office/excel/2006/main">
          <x14:cfRule type="expression" priority="672" id="{88731133-85C1-497D-8440-7304B836D6C7}">
            <xm:f>$S$8='Assessment Details'!$Q$23</xm:f>
            <x14:dxf>
              <font>
                <color theme="0"/>
              </font>
              <fill>
                <patternFill>
                  <bgColor theme="0"/>
                </patternFill>
              </fill>
              <border>
                <vertical/>
                <horizontal/>
              </border>
            </x14:dxf>
          </x14:cfRule>
          <xm:sqref>P93:P94</xm:sqref>
        </x14:conditionalFormatting>
        <x14:conditionalFormatting xmlns:xm="http://schemas.microsoft.com/office/excel/2006/main">
          <x14:cfRule type="expression" priority="671" id="{83A9A1C1-341F-4085-939C-5EB00F0A4EFD}">
            <xm:f>$S$8='Assessment Details'!$Q$23</xm:f>
            <x14:dxf>
              <border>
                <left style="thin">
                  <color theme="0"/>
                </left>
                <right style="thin">
                  <color theme="0"/>
                </right>
                <top style="thin">
                  <color theme="0"/>
                </top>
                <bottom style="thin">
                  <color theme="0"/>
                </bottom>
                <vertical/>
                <horizontal/>
              </border>
            </x14:dxf>
          </x14:cfRule>
          <xm:sqref>P93:P94</xm:sqref>
        </x14:conditionalFormatting>
        <x14:conditionalFormatting xmlns:xm="http://schemas.microsoft.com/office/excel/2006/main">
          <x14:cfRule type="expression" priority="665" id="{5736BA94-FE01-46BA-9EE9-706893E950AD}">
            <xm:f>$S$8='Assessment Details'!$Q$23</xm:f>
            <x14:dxf>
              <font>
                <color theme="0"/>
              </font>
              <fill>
                <patternFill>
                  <bgColor theme="0"/>
                </patternFill>
              </fill>
              <border>
                <vertical/>
                <horizontal/>
              </border>
            </x14:dxf>
          </x14:cfRule>
          <xm:sqref>P102:P103</xm:sqref>
        </x14:conditionalFormatting>
        <x14:conditionalFormatting xmlns:xm="http://schemas.microsoft.com/office/excel/2006/main">
          <x14:cfRule type="expression" priority="664" id="{B287D32D-09AC-4542-908E-5C03F7DF3000}">
            <xm:f>$S$8='Assessment Details'!$Q$23</xm:f>
            <x14:dxf>
              <border>
                <left style="thin">
                  <color theme="0"/>
                </left>
                <right style="thin">
                  <color theme="0"/>
                </right>
                <top style="thin">
                  <color theme="0"/>
                </top>
                <bottom style="thin">
                  <color theme="0"/>
                </bottom>
                <vertical/>
                <horizontal/>
              </border>
            </x14:dxf>
          </x14:cfRule>
          <xm:sqref>P102:P103</xm:sqref>
        </x14:conditionalFormatting>
        <x14:conditionalFormatting xmlns:xm="http://schemas.microsoft.com/office/excel/2006/main">
          <x14:cfRule type="expression" priority="658" id="{BAEC9280-F404-4074-ACAF-4F63E3923BED}">
            <xm:f>$S$8='Assessment Details'!$Q$23</xm:f>
            <x14:dxf>
              <font>
                <color theme="0"/>
              </font>
              <fill>
                <patternFill>
                  <bgColor theme="0"/>
                </patternFill>
              </fill>
              <border>
                <vertical/>
                <horizontal/>
              </border>
            </x14:dxf>
          </x14:cfRule>
          <xm:sqref>P116:P117</xm:sqref>
        </x14:conditionalFormatting>
        <x14:conditionalFormatting xmlns:xm="http://schemas.microsoft.com/office/excel/2006/main">
          <x14:cfRule type="expression" priority="657" id="{B72FF84F-18DD-4E5D-AA5C-62AF8BEB20C0}">
            <xm:f>$S$8='Assessment Details'!$Q$23</xm:f>
            <x14:dxf>
              <border>
                <left style="thin">
                  <color theme="0"/>
                </left>
                <right style="thin">
                  <color theme="0"/>
                </right>
                <top style="thin">
                  <color theme="0"/>
                </top>
                <bottom style="thin">
                  <color theme="0"/>
                </bottom>
                <vertical/>
                <horizontal/>
              </border>
            </x14:dxf>
          </x14:cfRule>
          <xm:sqref>P116:P117</xm:sqref>
        </x14:conditionalFormatting>
        <x14:conditionalFormatting xmlns:xm="http://schemas.microsoft.com/office/excel/2006/main">
          <x14:cfRule type="expression" priority="651" id="{182A97A1-8919-4F98-85C4-E0C267AD6962}">
            <xm:f>$S$8='Assessment Details'!$Q$23</xm:f>
            <x14:dxf>
              <font>
                <color theme="0"/>
              </font>
              <fill>
                <patternFill>
                  <bgColor theme="0"/>
                </patternFill>
              </fill>
              <border>
                <vertical/>
                <horizontal/>
              </border>
            </x14:dxf>
          </x14:cfRule>
          <xm:sqref>P146:P147</xm:sqref>
        </x14:conditionalFormatting>
        <x14:conditionalFormatting xmlns:xm="http://schemas.microsoft.com/office/excel/2006/main">
          <x14:cfRule type="expression" priority="650" id="{D469E189-23D1-496D-8C4E-E6AA0AAB74A2}">
            <xm:f>$S$8='Assessment Details'!$Q$23</xm:f>
            <x14:dxf>
              <border>
                <left style="thin">
                  <color theme="0"/>
                </left>
                <right style="thin">
                  <color theme="0"/>
                </right>
                <top style="thin">
                  <color theme="0"/>
                </top>
                <bottom style="thin">
                  <color theme="0"/>
                </bottom>
                <vertical/>
                <horizontal/>
              </border>
            </x14:dxf>
          </x14:cfRule>
          <xm:sqref>P146:P147</xm:sqref>
        </x14:conditionalFormatting>
        <x14:conditionalFormatting xmlns:xm="http://schemas.microsoft.com/office/excel/2006/main">
          <x14:cfRule type="expression" priority="644" id="{288F7C53-6249-4956-B63F-F9F31F7E07EB}">
            <xm:f>$S$8='Assessment Details'!$Q$23</xm:f>
            <x14:dxf>
              <font>
                <color theme="0"/>
              </font>
              <fill>
                <patternFill>
                  <bgColor theme="0"/>
                </patternFill>
              </fill>
              <border>
                <vertical/>
                <horizontal/>
              </border>
            </x14:dxf>
          </x14:cfRule>
          <xm:sqref>P161:P162</xm:sqref>
        </x14:conditionalFormatting>
        <x14:conditionalFormatting xmlns:xm="http://schemas.microsoft.com/office/excel/2006/main">
          <x14:cfRule type="expression" priority="643" id="{2C5498B1-8C8E-47D5-A2F1-8DA973C74463}">
            <xm:f>$S$8='Assessment Details'!$Q$23</xm:f>
            <x14:dxf>
              <border>
                <left style="thin">
                  <color theme="0"/>
                </left>
                <right style="thin">
                  <color theme="0"/>
                </right>
                <top style="thin">
                  <color theme="0"/>
                </top>
                <bottom style="thin">
                  <color theme="0"/>
                </bottom>
                <vertical/>
                <horizontal/>
              </border>
            </x14:dxf>
          </x14:cfRule>
          <xm:sqref>P161:P162</xm:sqref>
        </x14:conditionalFormatting>
        <x14:conditionalFormatting xmlns:xm="http://schemas.microsoft.com/office/excel/2006/main">
          <x14:cfRule type="expression" priority="637" id="{74C1B7DC-0D98-4E3D-99BC-38306C50C7CC}">
            <xm:f>$S$8='Assessment Details'!$Q$23</xm:f>
            <x14:dxf>
              <font>
                <color theme="0"/>
              </font>
              <fill>
                <patternFill>
                  <bgColor theme="0"/>
                </patternFill>
              </fill>
              <border>
                <vertical/>
                <horizontal/>
              </border>
            </x14:dxf>
          </x14:cfRule>
          <xm:sqref>P192:P193</xm:sqref>
        </x14:conditionalFormatting>
        <x14:conditionalFormatting xmlns:xm="http://schemas.microsoft.com/office/excel/2006/main">
          <x14:cfRule type="expression" priority="636" id="{7ED43190-5314-425F-9359-B4E182C97424}">
            <xm:f>$S$8='Assessment Details'!$Q$23</xm:f>
            <x14:dxf>
              <border>
                <left style="thin">
                  <color theme="0"/>
                </left>
                <right style="thin">
                  <color theme="0"/>
                </right>
                <top style="thin">
                  <color theme="0"/>
                </top>
                <bottom style="thin">
                  <color theme="0"/>
                </bottom>
                <vertical/>
                <horizontal/>
              </border>
            </x14:dxf>
          </x14:cfRule>
          <xm:sqref>P192:P193</xm:sqref>
        </x14:conditionalFormatting>
        <x14:conditionalFormatting xmlns:xm="http://schemas.microsoft.com/office/excel/2006/main">
          <x14:cfRule type="expression" priority="630" id="{4A98C8D9-E7DE-435C-A48A-376A9AF70F60}">
            <xm:f>$S$8='Assessment Details'!$Q$23</xm:f>
            <x14:dxf>
              <font>
                <color theme="0"/>
              </font>
              <fill>
                <patternFill>
                  <bgColor theme="0"/>
                </patternFill>
              </fill>
              <border>
                <vertical/>
                <horizontal/>
              </border>
            </x14:dxf>
          </x14:cfRule>
          <xm:sqref>P209:P210</xm:sqref>
        </x14:conditionalFormatting>
        <x14:conditionalFormatting xmlns:xm="http://schemas.microsoft.com/office/excel/2006/main">
          <x14:cfRule type="expression" priority="629" id="{9A98555B-286B-4BCF-80C8-2808A450F13B}">
            <xm:f>$S$8='Assessment Details'!$Q$23</xm:f>
            <x14:dxf>
              <border>
                <left style="thin">
                  <color theme="0"/>
                </left>
                <right style="thin">
                  <color theme="0"/>
                </right>
                <top style="thin">
                  <color theme="0"/>
                </top>
                <bottom style="thin">
                  <color theme="0"/>
                </bottom>
                <vertical/>
                <horizontal/>
              </border>
            </x14:dxf>
          </x14:cfRule>
          <xm:sqref>P209:P210</xm:sqref>
        </x14:conditionalFormatting>
        <x14:conditionalFormatting xmlns:xm="http://schemas.microsoft.com/office/excel/2006/main">
          <x14:cfRule type="expression" priority="601" id="{8549E820-C377-48FD-A48B-8593111D4F8A}">
            <xm:f>$S$8='Assessment Details'!$Q$23</xm:f>
            <x14:dxf>
              <font>
                <color theme="0"/>
              </font>
              <fill>
                <patternFill>
                  <bgColor theme="0"/>
                </patternFill>
              </fill>
              <border>
                <vertical/>
                <horizontal/>
              </border>
            </x14:dxf>
          </x14:cfRule>
          <xm:sqref>W36:W37</xm:sqref>
        </x14:conditionalFormatting>
        <x14:conditionalFormatting xmlns:xm="http://schemas.microsoft.com/office/excel/2006/main">
          <x14:cfRule type="expression" priority="600" id="{3A81CF31-E8DE-433C-BBAB-BC4BC823E4CF}">
            <xm:f>$S$8='Assessment Details'!$Q$23</xm:f>
            <x14:dxf>
              <border>
                <left style="thin">
                  <color theme="0"/>
                </left>
                <right style="thin">
                  <color theme="0"/>
                </right>
                <top style="thin">
                  <color theme="0"/>
                </top>
                <bottom style="thin">
                  <color theme="0"/>
                </bottom>
                <vertical/>
                <horizontal/>
              </border>
            </x14:dxf>
          </x14:cfRule>
          <xm:sqref>W36:W37</xm:sqref>
        </x14:conditionalFormatting>
        <x14:conditionalFormatting xmlns:xm="http://schemas.microsoft.com/office/excel/2006/main">
          <x14:cfRule type="expression" priority="594" id="{56AD95EA-5B74-4280-B8EE-32D6E0A2A840}">
            <xm:f>$S$8='Assessment Details'!$Q$23</xm:f>
            <x14:dxf>
              <font>
                <color theme="0"/>
              </font>
              <fill>
                <patternFill>
                  <bgColor theme="0"/>
                </patternFill>
              </fill>
              <border>
                <vertical/>
                <horizontal/>
              </border>
            </x14:dxf>
          </x14:cfRule>
          <xm:sqref>W64:W65</xm:sqref>
        </x14:conditionalFormatting>
        <x14:conditionalFormatting xmlns:xm="http://schemas.microsoft.com/office/excel/2006/main">
          <x14:cfRule type="expression" priority="593" id="{B29C4BCE-0079-496D-8EDC-BDB4F14A6BE5}">
            <xm:f>$S$8='Assessment Details'!$Q$23</xm:f>
            <x14:dxf>
              <border>
                <left style="thin">
                  <color theme="0"/>
                </left>
                <right style="thin">
                  <color theme="0"/>
                </right>
                <top style="thin">
                  <color theme="0"/>
                </top>
                <bottom style="thin">
                  <color theme="0"/>
                </bottom>
                <vertical/>
                <horizontal/>
              </border>
            </x14:dxf>
          </x14:cfRule>
          <xm:sqref>W64:W65</xm:sqref>
        </x14:conditionalFormatting>
        <x14:conditionalFormatting xmlns:xm="http://schemas.microsoft.com/office/excel/2006/main">
          <x14:cfRule type="expression" priority="587" id="{703C8C6D-B206-4EA6-8EF5-42C47E7733B6}">
            <xm:f>$S$8='Assessment Details'!$Q$23</xm:f>
            <x14:dxf>
              <font>
                <color theme="0"/>
              </font>
              <fill>
                <patternFill>
                  <bgColor theme="0"/>
                </patternFill>
              </fill>
              <border>
                <vertical/>
                <horizontal/>
              </border>
            </x14:dxf>
          </x14:cfRule>
          <xm:sqref>W93:W94</xm:sqref>
        </x14:conditionalFormatting>
        <x14:conditionalFormatting xmlns:xm="http://schemas.microsoft.com/office/excel/2006/main">
          <x14:cfRule type="expression" priority="586" id="{FCC3926C-CE4D-447F-B735-42A02E10F3CC}">
            <xm:f>$S$8='Assessment Details'!$Q$23</xm:f>
            <x14:dxf>
              <border>
                <left style="thin">
                  <color theme="0"/>
                </left>
                <right style="thin">
                  <color theme="0"/>
                </right>
                <top style="thin">
                  <color theme="0"/>
                </top>
                <bottom style="thin">
                  <color theme="0"/>
                </bottom>
                <vertical/>
                <horizontal/>
              </border>
            </x14:dxf>
          </x14:cfRule>
          <xm:sqref>W93:W94</xm:sqref>
        </x14:conditionalFormatting>
        <x14:conditionalFormatting xmlns:xm="http://schemas.microsoft.com/office/excel/2006/main">
          <x14:cfRule type="expression" priority="580" id="{34E6D511-70AB-4E9D-B5C3-3CA4966EA31C}">
            <xm:f>$S$8='Assessment Details'!$Q$23</xm:f>
            <x14:dxf>
              <font>
                <color theme="0"/>
              </font>
              <fill>
                <patternFill>
                  <bgColor theme="0"/>
                </patternFill>
              </fill>
              <border>
                <vertical/>
                <horizontal/>
              </border>
            </x14:dxf>
          </x14:cfRule>
          <xm:sqref>W102:W103</xm:sqref>
        </x14:conditionalFormatting>
        <x14:conditionalFormatting xmlns:xm="http://schemas.microsoft.com/office/excel/2006/main">
          <x14:cfRule type="expression" priority="579" id="{B7DC1EBD-D6C5-4B8C-8B3A-9E4F0FEC1CB8}">
            <xm:f>$S$8='Assessment Details'!$Q$23</xm:f>
            <x14:dxf>
              <border>
                <left style="thin">
                  <color theme="0"/>
                </left>
                <right style="thin">
                  <color theme="0"/>
                </right>
                <top style="thin">
                  <color theme="0"/>
                </top>
                <bottom style="thin">
                  <color theme="0"/>
                </bottom>
                <vertical/>
                <horizontal/>
              </border>
            </x14:dxf>
          </x14:cfRule>
          <xm:sqref>W102:W103</xm:sqref>
        </x14:conditionalFormatting>
        <x14:conditionalFormatting xmlns:xm="http://schemas.microsoft.com/office/excel/2006/main">
          <x14:cfRule type="expression" priority="573" id="{F94B71A7-BD36-4236-A6DC-1AAF0A79DA9C}">
            <xm:f>$S$8='Assessment Details'!$Q$23</xm:f>
            <x14:dxf>
              <font>
                <color theme="0"/>
              </font>
              <fill>
                <patternFill>
                  <bgColor theme="0"/>
                </patternFill>
              </fill>
              <border>
                <vertical/>
                <horizontal/>
              </border>
            </x14:dxf>
          </x14:cfRule>
          <xm:sqref>W116:W117</xm:sqref>
        </x14:conditionalFormatting>
        <x14:conditionalFormatting xmlns:xm="http://schemas.microsoft.com/office/excel/2006/main">
          <x14:cfRule type="expression" priority="572" id="{33E3661B-D345-4D41-B2F3-A7D4897D48C9}">
            <xm:f>$S$8='Assessment Details'!$Q$23</xm:f>
            <x14:dxf>
              <border>
                <left style="thin">
                  <color theme="0"/>
                </left>
                <right style="thin">
                  <color theme="0"/>
                </right>
                <top style="thin">
                  <color theme="0"/>
                </top>
                <bottom style="thin">
                  <color theme="0"/>
                </bottom>
                <vertical/>
                <horizontal/>
              </border>
            </x14:dxf>
          </x14:cfRule>
          <xm:sqref>W116:W117</xm:sqref>
        </x14:conditionalFormatting>
        <x14:conditionalFormatting xmlns:xm="http://schemas.microsoft.com/office/excel/2006/main">
          <x14:cfRule type="expression" priority="566" id="{C86AD676-9B60-41E2-B9D1-2A4407514768}">
            <xm:f>$S$8='Assessment Details'!$Q$23</xm:f>
            <x14:dxf>
              <font>
                <color theme="0"/>
              </font>
              <fill>
                <patternFill>
                  <bgColor theme="0"/>
                </patternFill>
              </fill>
              <border>
                <vertical/>
                <horizontal/>
              </border>
            </x14:dxf>
          </x14:cfRule>
          <xm:sqref>W146:W147</xm:sqref>
        </x14:conditionalFormatting>
        <x14:conditionalFormatting xmlns:xm="http://schemas.microsoft.com/office/excel/2006/main">
          <x14:cfRule type="expression" priority="565" id="{B009EFF1-5C4E-404B-97CB-A75E98C24251}">
            <xm:f>$S$8='Assessment Details'!$Q$23</xm:f>
            <x14:dxf>
              <border>
                <left style="thin">
                  <color theme="0"/>
                </left>
                <right style="thin">
                  <color theme="0"/>
                </right>
                <top style="thin">
                  <color theme="0"/>
                </top>
                <bottom style="thin">
                  <color theme="0"/>
                </bottom>
                <vertical/>
                <horizontal/>
              </border>
            </x14:dxf>
          </x14:cfRule>
          <xm:sqref>W146:W147</xm:sqref>
        </x14:conditionalFormatting>
        <x14:conditionalFormatting xmlns:xm="http://schemas.microsoft.com/office/excel/2006/main">
          <x14:cfRule type="expression" priority="559" id="{6323C794-8A7C-4992-8E90-CAF3FDDFA08D}">
            <xm:f>$S$8='Assessment Details'!$Q$23</xm:f>
            <x14:dxf>
              <font>
                <color theme="0"/>
              </font>
              <fill>
                <patternFill>
                  <bgColor theme="0"/>
                </patternFill>
              </fill>
              <border>
                <vertical/>
                <horizontal/>
              </border>
            </x14:dxf>
          </x14:cfRule>
          <xm:sqref>W161:W162</xm:sqref>
        </x14:conditionalFormatting>
        <x14:conditionalFormatting xmlns:xm="http://schemas.microsoft.com/office/excel/2006/main">
          <x14:cfRule type="expression" priority="558" id="{F0873F40-3A68-4411-B534-637CE6F9DFA3}">
            <xm:f>$S$8='Assessment Details'!$Q$23</xm:f>
            <x14:dxf>
              <border>
                <left style="thin">
                  <color theme="0"/>
                </left>
                <right style="thin">
                  <color theme="0"/>
                </right>
                <top style="thin">
                  <color theme="0"/>
                </top>
                <bottom style="thin">
                  <color theme="0"/>
                </bottom>
                <vertical/>
                <horizontal/>
              </border>
            </x14:dxf>
          </x14:cfRule>
          <xm:sqref>W161:W162</xm:sqref>
        </x14:conditionalFormatting>
        <x14:conditionalFormatting xmlns:xm="http://schemas.microsoft.com/office/excel/2006/main">
          <x14:cfRule type="expression" priority="552" id="{FCD05809-E385-43B1-BEE9-32BBF65D574F}">
            <xm:f>$S$8='Assessment Details'!$Q$23</xm:f>
            <x14:dxf>
              <font>
                <color theme="0"/>
              </font>
              <fill>
                <patternFill>
                  <bgColor theme="0"/>
                </patternFill>
              </fill>
              <border>
                <vertical/>
                <horizontal/>
              </border>
            </x14:dxf>
          </x14:cfRule>
          <xm:sqref>W192:W193</xm:sqref>
        </x14:conditionalFormatting>
        <x14:conditionalFormatting xmlns:xm="http://schemas.microsoft.com/office/excel/2006/main">
          <x14:cfRule type="expression" priority="551" id="{7FDAF1A2-2419-4B82-B8EF-8158B62BB591}">
            <xm:f>$S$8='Assessment Details'!$Q$23</xm:f>
            <x14:dxf>
              <border>
                <left style="thin">
                  <color theme="0"/>
                </left>
                <right style="thin">
                  <color theme="0"/>
                </right>
                <top style="thin">
                  <color theme="0"/>
                </top>
                <bottom style="thin">
                  <color theme="0"/>
                </bottom>
                <vertical/>
                <horizontal/>
              </border>
            </x14:dxf>
          </x14:cfRule>
          <xm:sqref>W192:W193</xm:sqref>
        </x14:conditionalFormatting>
        <x14:conditionalFormatting xmlns:xm="http://schemas.microsoft.com/office/excel/2006/main">
          <x14:cfRule type="expression" priority="545" id="{A07BA65D-7D48-4F65-A996-E0325805E0BB}">
            <xm:f>$S$8='Assessment Details'!$Q$23</xm:f>
            <x14:dxf>
              <font>
                <color theme="0"/>
              </font>
              <fill>
                <patternFill>
                  <bgColor theme="0"/>
                </patternFill>
              </fill>
              <border>
                <vertical/>
                <horizontal/>
              </border>
            </x14:dxf>
          </x14:cfRule>
          <xm:sqref>W209:W210</xm:sqref>
        </x14:conditionalFormatting>
        <x14:conditionalFormatting xmlns:xm="http://schemas.microsoft.com/office/excel/2006/main">
          <x14:cfRule type="expression" priority="544" id="{E1516C20-E913-452D-8F9C-E50184B72040}">
            <xm:f>$S$8='Assessment Details'!$Q$23</xm:f>
            <x14:dxf>
              <border>
                <left style="thin">
                  <color theme="0"/>
                </left>
                <right style="thin">
                  <color theme="0"/>
                </right>
                <top style="thin">
                  <color theme="0"/>
                </top>
                <bottom style="thin">
                  <color theme="0"/>
                </bottom>
                <vertical/>
                <horizontal/>
              </border>
            </x14:dxf>
          </x14:cfRule>
          <xm:sqref>W209:W210</xm:sqref>
        </x14:conditionalFormatting>
        <x14:conditionalFormatting xmlns:xm="http://schemas.microsoft.com/office/excel/2006/main">
          <x14:cfRule type="expression" priority="5330" id="{1A60305C-32B7-4D4F-9804-69A16324B9A7}">
            <xm:f>$S$8='Assessment Details'!$Q$23</xm:f>
            <x14:dxf>
              <border>
                <vertical/>
                <horizontal/>
              </border>
            </x14:dxf>
          </x14:cfRule>
          <xm:sqref>N9:S9</xm:sqref>
        </x14:conditionalFormatting>
        <x14:conditionalFormatting xmlns:xm="http://schemas.microsoft.com/office/excel/2006/main">
          <x14:cfRule type="expression" priority="276" id="{316732AE-0C92-4BAF-87A4-73920F4C29A8}">
            <xm:f>$S$8='Assessment Details'!$Q$23</xm:f>
            <x14:dxf>
              <font>
                <color theme="0"/>
              </font>
              <fill>
                <patternFill>
                  <bgColor theme="0"/>
                </patternFill>
              </fill>
              <border>
                <vertical/>
                <horizontal/>
              </border>
            </x14:dxf>
          </x14:cfRule>
          <xm:sqref>N39:N40</xm:sqref>
        </x14:conditionalFormatting>
        <x14:conditionalFormatting xmlns:xm="http://schemas.microsoft.com/office/excel/2006/main">
          <x14:cfRule type="expression" priority="275" id="{349D7929-A46C-4B01-9FA8-9196D94CB8E9}">
            <xm:f>$S$8='Assessment Details'!$Q$23</xm:f>
            <x14:dxf>
              <border>
                <left style="thin">
                  <color theme="0"/>
                </left>
                <right style="thin">
                  <color theme="0"/>
                </right>
                <top style="thin">
                  <color theme="0"/>
                </top>
                <bottom style="thin">
                  <color theme="0"/>
                </bottom>
                <vertical/>
                <horizontal/>
              </border>
            </x14:dxf>
          </x14:cfRule>
          <xm:sqref>N39:N40</xm:sqref>
        </x14:conditionalFormatting>
        <x14:conditionalFormatting xmlns:xm="http://schemas.microsoft.com/office/excel/2006/main">
          <x14:cfRule type="expression" priority="269" id="{EE5D9CA1-F0E4-419F-910C-6DE85D74E322}">
            <xm:f>$Z$8='Assessment Details'!$Q$23</xm:f>
            <x14:dxf>
              <font>
                <color theme="0"/>
              </font>
              <fill>
                <patternFill>
                  <bgColor theme="0"/>
                </patternFill>
              </fill>
            </x14:dxf>
          </x14:cfRule>
          <xm:sqref>U39:U40</xm:sqref>
        </x14:conditionalFormatting>
        <x14:conditionalFormatting xmlns:xm="http://schemas.microsoft.com/office/excel/2006/main">
          <x14:cfRule type="expression" priority="268" id="{0ED5B0BE-EB5F-459A-97B7-CB07977EF185}">
            <xm:f>$Z$8='Assessment Details'!$Q$23</xm:f>
            <x14:dxf>
              <border>
                <left style="thin">
                  <color theme="0"/>
                </left>
                <right style="thin">
                  <color theme="0"/>
                </right>
                <top style="thin">
                  <color theme="0"/>
                </top>
                <bottom style="thin">
                  <color theme="0"/>
                </bottom>
                <vertical/>
                <horizontal/>
              </border>
            </x14:dxf>
          </x14:cfRule>
          <xm:sqref>U39:U40</xm:sqref>
        </x14:conditionalFormatting>
        <x14:conditionalFormatting xmlns:xm="http://schemas.microsoft.com/office/excel/2006/main">
          <x14:cfRule type="expression" priority="249" id="{65CA73E6-BD38-436B-8667-DF9AAF8E6316}">
            <xm:f>$S$8='Assessment Details'!$Q$23</xm:f>
            <x14:dxf>
              <font>
                <color theme="0"/>
              </font>
              <fill>
                <patternFill>
                  <bgColor theme="0"/>
                </patternFill>
              </fill>
              <border>
                <vertical/>
                <horizontal/>
              </border>
            </x14:dxf>
          </x14:cfRule>
          <xm:sqref>Q153:R153</xm:sqref>
        </x14:conditionalFormatting>
        <x14:conditionalFormatting xmlns:xm="http://schemas.microsoft.com/office/excel/2006/main">
          <x14:cfRule type="expression" priority="248" id="{3A565662-0B6D-4CA4-945C-1FAF4D2A9455}">
            <xm:f>$S$8='Assessment Details'!$Q$23</xm:f>
            <x14:dxf>
              <border>
                <left style="thin">
                  <color theme="0"/>
                </left>
                <right style="thin">
                  <color theme="0"/>
                </right>
                <top style="thin">
                  <color theme="0"/>
                </top>
                <bottom style="thin">
                  <color theme="0"/>
                </bottom>
                <vertical/>
                <horizontal/>
              </border>
            </x14:dxf>
          </x14:cfRule>
          <xm:sqref>Q153:R153</xm:sqref>
        </x14:conditionalFormatting>
        <x14:conditionalFormatting xmlns:xm="http://schemas.microsoft.com/office/excel/2006/main">
          <x14:cfRule type="expression" priority="240" id="{08BEB683-C2B8-49B9-8E2B-8E5DF0EAEDE1}">
            <xm:f>$S$8='Assessment Details'!$Q$23</xm:f>
            <x14:dxf>
              <font>
                <color theme="0"/>
              </font>
              <fill>
                <patternFill>
                  <bgColor theme="0"/>
                </patternFill>
              </fill>
              <border>
                <vertical/>
                <horizontal/>
              </border>
            </x14:dxf>
          </x14:cfRule>
          <xm:sqref>N153</xm:sqref>
        </x14:conditionalFormatting>
        <x14:conditionalFormatting xmlns:xm="http://schemas.microsoft.com/office/excel/2006/main">
          <x14:cfRule type="expression" priority="239" id="{B351332A-CDBD-4BF2-B68B-54A083937E14}">
            <xm:f>$S$8='Assessment Details'!$Q$23</xm:f>
            <x14:dxf>
              <border>
                <left style="thin">
                  <color theme="0"/>
                </left>
                <right style="thin">
                  <color theme="0"/>
                </right>
                <top style="thin">
                  <color theme="0"/>
                </top>
                <bottom style="thin">
                  <color theme="0"/>
                </bottom>
                <vertical/>
                <horizontal/>
              </border>
            </x14:dxf>
          </x14:cfRule>
          <xm:sqref>N153</xm:sqref>
        </x14:conditionalFormatting>
        <x14:conditionalFormatting xmlns:xm="http://schemas.microsoft.com/office/excel/2006/main">
          <x14:cfRule type="expression" priority="232" id="{54BAFC6B-26D6-45D6-B24F-D347232A6286}">
            <xm:f>$Z$8='Assessment Details'!$Q$23</xm:f>
            <x14:dxf>
              <font>
                <color theme="0"/>
              </font>
              <fill>
                <patternFill>
                  <bgColor theme="0"/>
                </patternFill>
              </fill>
            </x14:dxf>
          </x14:cfRule>
          <xm:sqref>X153:Y153</xm:sqref>
        </x14:conditionalFormatting>
        <x14:conditionalFormatting xmlns:xm="http://schemas.microsoft.com/office/excel/2006/main">
          <x14:cfRule type="expression" priority="231" id="{4D014AA0-BD19-4252-AD63-B82775449FD7}">
            <xm:f>$Z$8='Assessment Details'!$Q$23</xm:f>
            <x14:dxf>
              <border>
                <left style="thin">
                  <color theme="0"/>
                </left>
                <right style="thin">
                  <color theme="0"/>
                </right>
                <top style="thin">
                  <color theme="0"/>
                </top>
                <bottom style="thin">
                  <color theme="0"/>
                </bottom>
                <vertical/>
                <horizontal/>
              </border>
            </x14:dxf>
          </x14:cfRule>
          <xm:sqref>X153:Y153</xm:sqref>
        </x14:conditionalFormatting>
        <x14:conditionalFormatting xmlns:xm="http://schemas.microsoft.com/office/excel/2006/main">
          <x14:cfRule type="expression" priority="227" id="{44621CD4-E4DB-4918-8BED-0B3E67666858}">
            <xm:f>$Z$8='Assessment Details'!$Q$23</xm:f>
            <x14:dxf>
              <font>
                <color theme="0"/>
              </font>
              <fill>
                <patternFill>
                  <bgColor theme="0"/>
                </patternFill>
              </fill>
            </x14:dxf>
          </x14:cfRule>
          <xm:sqref>U153</xm:sqref>
        </x14:conditionalFormatting>
        <x14:conditionalFormatting xmlns:xm="http://schemas.microsoft.com/office/excel/2006/main">
          <x14:cfRule type="expression" priority="226" id="{DFF0AE6B-5353-4A62-8464-F3E14179ED2E}">
            <xm:f>$Z$8='Assessment Details'!$Q$23</xm:f>
            <x14:dxf>
              <border>
                <left style="thin">
                  <color theme="0"/>
                </left>
                <right style="thin">
                  <color theme="0"/>
                </right>
                <top style="thin">
                  <color theme="0"/>
                </top>
                <bottom style="thin">
                  <color theme="0"/>
                </bottom>
                <vertical/>
                <horizontal/>
              </border>
            </x14:dxf>
          </x14:cfRule>
          <xm:sqref>U153</xm:sqref>
        </x14:conditionalFormatting>
        <x14:conditionalFormatting xmlns:xm="http://schemas.microsoft.com/office/excel/2006/main">
          <x14:cfRule type="expression" priority="213" id="{CB642F8B-2E61-4CCA-845E-E9BF5EBC7179}">
            <xm:f>$S$8='Assessment Details'!$Q$23</xm:f>
            <x14:dxf>
              <font>
                <color theme="0"/>
              </font>
              <fill>
                <patternFill>
                  <bgColor theme="0"/>
                </patternFill>
              </fill>
              <border>
                <vertical/>
                <horizontal/>
              </border>
            </x14:dxf>
          </x14:cfRule>
          <xm:sqref>Q165</xm:sqref>
        </x14:conditionalFormatting>
        <x14:conditionalFormatting xmlns:xm="http://schemas.microsoft.com/office/excel/2006/main">
          <x14:cfRule type="expression" priority="212" id="{1A8B2317-D8BB-49D8-B51C-6BCC62A1BB7D}">
            <xm:f>$S$8='Assessment Details'!$Q$23</xm:f>
            <x14:dxf>
              <border>
                <left style="thin">
                  <color theme="0"/>
                </left>
                <right style="thin">
                  <color theme="0"/>
                </right>
                <top style="thin">
                  <color theme="0"/>
                </top>
                <bottom style="thin">
                  <color theme="0"/>
                </bottom>
                <vertical/>
                <horizontal/>
              </border>
            </x14:dxf>
          </x14:cfRule>
          <xm:sqref>Q165</xm:sqref>
        </x14:conditionalFormatting>
        <x14:conditionalFormatting xmlns:xm="http://schemas.microsoft.com/office/excel/2006/main">
          <x14:cfRule type="expression" priority="204" id="{934EF046-70D2-46EA-81CD-20AF2A8CEC09}">
            <xm:f>$S$8='Assessment Details'!$Q$23</xm:f>
            <x14:dxf>
              <font>
                <color theme="0"/>
              </font>
              <fill>
                <patternFill>
                  <bgColor theme="0"/>
                </patternFill>
              </fill>
              <border>
                <vertical/>
                <horizontal/>
              </border>
            </x14:dxf>
          </x14:cfRule>
          <xm:sqref>N165</xm:sqref>
        </x14:conditionalFormatting>
        <x14:conditionalFormatting xmlns:xm="http://schemas.microsoft.com/office/excel/2006/main">
          <x14:cfRule type="expression" priority="203" id="{09CA425F-C18C-4B7E-B211-7F4BD61EB152}">
            <xm:f>$S$8='Assessment Details'!$Q$23</xm:f>
            <x14:dxf>
              <border>
                <left style="thin">
                  <color theme="0"/>
                </left>
                <right style="thin">
                  <color theme="0"/>
                </right>
                <top style="thin">
                  <color theme="0"/>
                </top>
                <bottom style="thin">
                  <color theme="0"/>
                </bottom>
                <vertical/>
                <horizontal/>
              </border>
            </x14:dxf>
          </x14:cfRule>
          <xm:sqref>N165</xm:sqref>
        </x14:conditionalFormatting>
        <x14:conditionalFormatting xmlns:xm="http://schemas.microsoft.com/office/excel/2006/main">
          <x14:cfRule type="expression" priority="196" id="{B2FC46A1-2C92-496B-9E89-791D09A9AF0B}">
            <xm:f>$Z$8='Assessment Details'!$Q$23</xm:f>
            <x14:dxf>
              <font>
                <color theme="0"/>
              </font>
              <fill>
                <patternFill>
                  <bgColor theme="0"/>
                </patternFill>
              </fill>
            </x14:dxf>
          </x14:cfRule>
          <xm:sqref>X165:Y165</xm:sqref>
        </x14:conditionalFormatting>
        <x14:conditionalFormatting xmlns:xm="http://schemas.microsoft.com/office/excel/2006/main">
          <x14:cfRule type="expression" priority="195" id="{A1E9EE4F-CE82-46D0-BBA8-D422B26625B9}">
            <xm:f>$Z$8='Assessment Details'!$Q$23</xm:f>
            <x14:dxf>
              <border>
                <left style="thin">
                  <color theme="0"/>
                </left>
                <right style="thin">
                  <color theme="0"/>
                </right>
                <top style="thin">
                  <color theme="0"/>
                </top>
                <bottom style="thin">
                  <color theme="0"/>
                </bottom>
                <vertical/>
                <horizontal/>
              </border>
            </x14:dxf>
          </x14:cfRule>
          <xm:sqref>X165:Y165</xm:sqref>
        </x14:conditionalFormatting>
        <x14:conditionalFormatting xmlns:xm="http://schemas.microsoft.com/office/excel/2006/main">
          <x14:cfRule type="expression" priority="191" id="{645F55AC-AEC3-49A7-9FF8-9C56EC37578F}">
            <xm:f>$Z$8='Assessment Details'!$Q$23</xm:f>
            <x14:dxf>
              <font>
                <color theme="0"/>
              </font>
              <fill>
                <patternFill>
                  <bgColor theme="0"/>
                </patternFill>
              </fill>
            </x14:dxf>
          </x14:cfRule>
          <xm:sqref>U165</xm:sqref>
        </x14:conditionalFormatting>
        <x14:conditionalFormatting xmlns:xm="http://schemas.microsoft.com/office/excel/2006/main">
          <x14:cfRule type="expression" priority="190" id="{E3A3E958-208D-4007-9FEE-45A1BE170DA7}">
            <xm:f>$Z$8='Assessment Details'!$Q$23</xm:f>
            <x14:dxf>
              <border>
                <left style="thin">
                  <color theme="0"/>
                </left>
                <right style="thin">
                  <color theme="0"/>
                </right>
                <top style="thin">
                  <color theme="0"/>
                </top>
                <bottom style="thin">
                  <color theme="0"/>
                </bottom>
                <vertical/>
                <horizontal/>
              </border>
            </x14:dxf>
          </x14:cfRule>
          <xm:sqref>U165</xm:sqref>
        </x14:conditionalFormatting>
        <x14:conditionalFormatting xmlns:xm="http://schemas.microsoft.com/office/excel/2006/main">
          <x14:cfRule type="expression" priority="175" id="{040902CE-9860-413B-A8E8-2BA69DC644F4}">
            <xm:f>$S$8='Assessment Details'!$Q$23</xm:f>
            <x14:dxf>
              <font>
                <color theme="0"/>
              </font>
              <fill>
                <patternFill>
                  <bgColor theme="0"/>
                </patternFill>
              </fill>
              <border>
                <vertical/>
                <horizontal/>
              </border>
            </x14:dxf>
          </x14:cfRule>
          <xm:sqref>N70</xm:sqref>
        </x14:conditionalFormatting>
        <x14:conditionalFormatting xmlns:xm="http://schemas.microsoft.com/office/excel/2006/main">
          <x14:cfRule type="expression" priority="174" id="{7D7C6925-A257-49BE-A707-A28D0318336B}">
            <xm:f>$S$8='Assessment Details'!$Q$23</xm:f>
            <x14:dxf>
              <border>
                <left style="thin">
                  <color theme="0"/>
                </left>
                <right style="thin">
                  <color theme="0"/>
                </right>
                <top style="thin">
                  <color theme="0"/>
                </top>
                <bottom style="thin">
                  <color theme="0"/>
                </bottom>
                <vertical/>
                <horizontal/>
              </border>
            </x14:dxf>
          </x14:cfRule>
          <xm:sqref>N70</xm:sqref>
        </x14:conditionalFormatting>
        <x14:conditionalFormatting xmlns:xm="http://schemas.microsoft.com/office/excel/2006/main">
          <x14:cfRule type="expression" priority="164" id="{211DBCB8-0A17-42FE-9246-881838AB152E}">
            <xm:f>$Z$8='Assessment Details'!$Q$23</xm:f>
            <x14:dxf>
              <font>
                <color theme="0"/>
              </font>
              <fill>
                <patternFill>
                  <bgColor theme="0"/>
                </patternFill>
              </fill>
              <border>
                <left/>
                <right/>
                <top/>
                <bottom/>
              </border>
            </x14:dxf>
          </x14:cfRule>
          <xm:sqref>U70</xm:sqref>
        </x14:conditionalFormatting>
        <x14:conditionalFormatting xmlns:xm="http://schemas.microsoft.com/office/excel/2006/main">
          <x14:cfRule type="expression" priority="166" id="{37EEC3DA-3771-43C1-84AB-4DF49BD6D9B7}">
            <xm:f>$Z$8='Assessment Details'!$Q$23</xm:f>
            <x14:dxf>
              <font>
                <color theme="0"/>
              </font>
              <fill>
                <patternFill>
                  <bgColor theme="0"/>
                </patternFill>
              </fill>
            </x14:dxf>
          </x14:cfRule>
          <xm:sqref>U70</xm:sqref>
        </x14:conditionalFormatting>
        <x14:conditionalFormatting xmlns:xm="http://schemas.microsoft.com/office/excel/2006/main">
          <x14:cfRule type="expression" priority="165" id="{0341C9CF-C989-455B-BED3-3F5C54F48A03}">
            <xm:f>$Z$8='Assessment Details'!$Q$23</xm:f>
            <x14:dxf>
              <border>
                <left style="thin">
                  <color theme="0"/>
                </left>
                <right style="thin">
                  <color theme="0"/>
                </right>
                <top style="thin">
                  <color theme="0"/>
                </top>
                <bottom style="thin">
                  <color theme="0"/>
                </bottom>
                <vertical/>
                <horizontal/>
              </border>
            </x14:dxf>
          </x14:cfRule>
          <xm:sqref>U70</xm:sqref>
        </x14:conditionalFormatting>
        <x14:conditionalFormatting xmlns:xm="http://schemas.microsoft.com/office/excel/2006/main">
          <x14:cfRule type="expression" priority="130" id="{59F487A5-8B2D-4BD5-88C6-FFF118AED0A6}">
            <xm:f>$S$8='Assessment Details'!$Q$23</xm:f>
            <x14:dxf>
              <font>
                <color theme="0"/>
              </font>
              <fill>
                <patternFill>
                  <bgColor theme="0"/>
                </patternFill>
              </fill>
              <border>
                <left/>
                <right/>
                <top/>
                <bottom/>
                <vertical/>
                <horizontal/>
              </border>
            </x14:dxf>
          </x14:cfRule>
          <xm:sqref>O105:S105</xm:sqref>
        </x14:conditionalFormatting>
        <x14:conditionalFormatting xmlns:xm="http://schemas.microsoft.com/office/excel/2006/main">
          <x14:cfRule type="expression" priority="129" id="{2320E191-1905-4394-BA53-DCDC25252364}">
            <xm:f>$Z$8='Assessment Details'!$Q$23</xm:f>
            <x14:dxf>
              <font>
                <color theme="0"/>
              </font>
              <fill>
                <patternFill>
                  <bgColor theme="0"/>
                </patternFill>
              </fill>
              <border>
                <left/>
                <right/>
                <top/>
                <bottom/>
              </border>
            </x14:dxf>
          </x14:cfRule>
          <xm:sqref>V105:Z105</xm:sqref>
        </x14:conditionalFormatting>
        <x14:conditionalFormatting xmlns:xm="http://schemas.microsoft.com/office/excel/2006/main">
          <x14:cfRule type="expression" priority="148" id="{FAD9C128-0C7C-438D-A6E0-664F9EFCF777}">
            <xm:f>$S$8='Assessment Details'!$Q$23</xm:f>
            <x14:dxf>
              <font>
                <color theme="0"/>
              </font>
              <fill>
                <patternFill>
                  <bgColor theme="0"/>
                </patternFill>
              </fill>
              <border>
                <vertical/>
                <horizontal/>
              </border>
            </x14:dxf>
          </x14:cfRule>
          <xm:sqref>Q105:R105</xm:sqref>
        </x14:conditionalFormatting>
        <x14:conditionalFormatting xmlns:xm="http://schemas.microsoft.com/office/excel/2006/main">
          <x14:cfRule type="expression" priority="147" id="{0F82769C-0662-4902-9CE8-CBD8E6C78C1F}">
            <xm:f>$S$8='Assessment Details'!$Q$23</xm:f>
            <x14:dxf>
              <border>
                <left style="thin">
                  <color theme="0"/>
                </left>
                <right style="thin">
                  <color theme="0"/>
                </right>
                <top style="thin">
                  <color theme="0"/>
                </top>
                <bottom style="thin">
                  <color theme="0"/>
                </bottom>
                <vertical/>
                <horizontal/>
              </border>
            </x14:dxf>
          </x14:cfRule>
          <xm:sqref>Q105:R105</xm:sqref>
        </x14:conditionalFormatting>
        <x14:conditionalFormatting xmlns:xm="http://schemas.microsoft.com/office/excel/2006/main">
          <x14:cfRule type="expression" priority="146" id="{221EEEEE-A194-4069-968F-DD9AB90A71E1}">
            <xm:f>$Z$8='Assessment Details'!$Q$23</xm:f>
            <x14:dxf>
              <font>
                <color theme="0"/>
              </font>
              <fill>
                <patternFill>
                  <bgColor theme="0"/>
                </patternFill>
              </fill>
            </x14:dxf>
          </x14:cfRule>
          <xm:sqref>X105:Y105</xm:sqref>
        </x14:conditionalFormatting>
        <x14:conditionalFormatting xmlns:xm="http://schemas.microsoft.com/office/excel/2006/main">
          <x14:cfRule type="expression" priority="145" id="{E75D99F3-6014-48CB-86CE-FECF76B23D21}">
            <xm:f>$Z$8='Assessment Details'!$Q$23</xm:f>
            <x14:dxf>
              <border>
                <left style="thin">
                  <color theme="0"/>
                </left>
                <right style="thin">
                  <color theme="0"/>
                </right>
                <top style="thin">
                  <color theme="0"/>
                </top>
                <bottom style="thin">
                  <color theme="0"/>
                </bottom>
                <vertical/>
                <horizontal/>
              </border>
            </x14:dxf>
          </x14:cfRule>
          <xm:sqref>X105:Y105</xm:sqref>
        </x14:conditionalFormatting>
        <x14:conditionalFormatting xmlns:xm="http://schemas.microsoft.com/office/excel/2006/main">
          <x14:cfRule type="expression" priority="89" id="{753631EF-28F7-4CED-8C27-9CDB1948039F}">
            <xm:f>$S$8='Assessment Details'!$Q$23</xm:f>
            <x14:dxf>
              <font>
                <color theme="0"/>
              </font>
              <fill>
                <patternFill>
                  <bgColor theme="0"/>
                </patternFill>
              </fill>
              <border>
                <left/>
                <right/>
                <top/>
                <bottom/>
                <vertical/>
                <horizontal/>
              </border>
            </x14:dxf>
          </x14:cfRule>
          <xm:sqref>O149:S149</xm:sqref>
        </x14:conditionalFormatting>
        <x14:conditionalFormatting xmlns:xm="http://schemas.microsoft.com/office/excel/2006/main">
          <x14:cfRule type="expression" priority="88" id="{B8C347FC-5C72-466C-AE24-F7F42136F625}">
            <xm:f>$Z$8='Assessment Details'!$Q$23</xm:f>
            <x14:dxf>
              <font>
                <color theme="0"/>
              </font>
              <fill>
                <patternFill>
                  <bgColor theme="0"/>
                </patternFill>
              </fill>
              <border>
                <left/>
                <right/>
                <top/>
                <bottom/>
              </border>
            </x14:dxf>
          </x14:cfRule>
          <xm:sqref>V149:Z149</xm:sqref>
        </x14:conditionalFormatting>
        <x14:conditionalFormatting xmlns:xm="http://schemas.microsoft.com/office/excel/2006/main">
          <x14:cfRule type="expression" priority="107" id="{8C2205B5-D082-41BE-9828-54B10EEB7ABF}">
            <xm:f>$S$8='Assessment Details'!$Q$23</xm:f>
            <x14:dxf>
              <font>
                <color theme="0"/>
              </font>
              <fill>
                <patternFill>
                  <bgColor theme="0"/>
                </patternFill>
              </fill>
              <border>
                <vertical/>
                <horizontal/>
              </border>
            </x14:dxf>
          </x14:cfRule>
          <xm:sqref>Q149:R149</xm:sqref>
        </x14:conditionalFormatting>
        <x14:conditionalFormatting xmlns:xm="http://schemas.microsoft.com/office/excel/2006/main">
          <x14:cfRule type="expression" priority="106" id="{25FAD901-5A52-44B1-AFEF-0E30576C9BFE}">
            <xm:f>$S$8='Assessment Details'!$Q$23</xm:f>
            <x14:dxf>
              <border>
                <left style="thin">
                  <color theme="0"/>
                </left>
                <right style="thin">
                  <color theme="0"/>
                </right>
                <top style="thin">
                  <color theme="0"/>
                </top>
                <bottom style="thin">
                  <color theme="0"/>
                </bottom>
                <vertical/>
                <horizontal/>
              </border>
            </x14:dxf>
          </x14:cfRule>
          <xm:sqref>Q149:R149</xm:sqref>
        </x14:conditionalFormatting>
        <x14:conditionalFormatting xmlns:xm="http://schemas.microsoft.com/office/excel/2006/main">
          <x14:cfRule type="expression" priority="105" id="{CB7E89B4-EAD9-4F74-9F14-36721AD881AE}">
            <xm:f>$Z$8='Assessment Details'!$Q$23</xm:f>
            <x14:dxf>
              <font>
                <color theme="0"/>
              </font>
              <fill>
                <patternFill>
                  <bgColor theme="0"/>
                </patternFill>
              </fill>
            </x14:dxf>
          </x14:cfRule>
          <xm:sqref>X149:Y149</xm:sqref>
        </x14:conditionalFormatting>
        <x14:conditionalFormatting xmlns:xm="http://schemas.microsoft.com/office/excel/2006/main">
          <x14:cfRule type="expression" priority="104" id="{4264F0D5-D4F3-401D-ADC2-375E1929F74B}">
            <xm:f>$Z$8='Assessment Details'!$Q$23</xm:f>
            <x14:dxf>
              <border>
                <left style="thin">
                  <color theme="0"/>
                </left>
                <right style="thin">
                  <color theme="0"/>
                </right>
                <top style="thin">
                  <color theme="0"/>
                </top>
                <bottom style="thin">
                  <color theme="0"/>
                </bottom>
                <vertical/>
                <horizontal/>
              </border>
            </x14:dxf>
          </x14:cfRule>
          <xm:sqref>X149:Y149</xm:sqref>
        </x14:conditionalFormatting>
        <x14:conditionalFormatting xmlns:xm="http://schemas.microsoft.com/office/excel/2006/main">
          <x14:cfRule type="expression" priority="51" id="{FB513AC0-BF46-4EA1-9764-92B46301C5BF}">
            <xm:f>$S$8='Assessment Details'!$Q$23</xm:f>
            <x14:dxf>
              <font>
                <color theme="0"/>
              </font>
              <fill>
                <patternFill>
                  <bgColor theme="0"/>
                </patternFill>
              </fill>
              <border>
                <left/>
                <right/>
                <top/>
                <bottom/>
                <vertical/>
                <horizontal/>
              </border>
            </x14:dxf>
          </x14:cfRule>
          <xm:sqref>N137:S137</xm:sqref>
        </x14:conditionalFormatting>
        <x14:conditionalFormatting xmlns:xm="http://schemas.microsoft.com/office/excel/2006/main">
          <x14:cfRule type="expression" priority="86" id="{8272D6CF-31FE-45BA-9858-520A52503E9B}">
            <xm:f>$S$8='Assessment Details'!$Q$23</xm:f>
            <x14:dxf>
              <border>
                <left style="thin">
                  <color theme="0"/>
                </left>
                <right style="thin">
                  <color theme="0"/>
                </right>
                <top style="thin">
                  <color theme="0"/>
                </top>
                <bottom style="thin">
                  <color theme="0"/>
                </bottom>
                <vertical/>
                <horizontal/>
              </border>
            </x14:dxf>
          </x14:cfRule>
          <xm:sqref>Q137:R137</xm:sqref>
        </x14:conditionalFormatting>
        <x14:conditionalFormatting xmlns:xm="http://schemas.microsoft.com/office/excel/2006/main">
          <x14:cfRule type="expression" priority="50" id="{CFB16048-1C44-46C6-9915-C0B1B9D9D4D0}">
            <xm:f>$Z$8='Assessment Details'!$Q$23</xm:f>
            <x14:dxf>
              <font>
                <color theme="0"/>
              </font>
              <fill>
                <patternFill>
                  <bgColor theme="0"/>
                </patternFill>
              </fill>
              <border>
                <left/>
                <right/>
                <top/>
                <bottom/>
              </border>
            </x14:dxf>
          </x14:cfRule>
          <xm:sqref>U137:Z137</xm:sqref>
        </x14:conditionalFormatting>
        <x14:conditionalFormatting xmlns:xm="http://schemas.microsoft.com/office/excel/2006/main">
          <x14:cfRule type="expression" priority="75" id="{F4FCB03C-9991-4657-B3A4-C172320EADE2}">
            <xm:f>$Z$8='Assessment Details'!$Q$23</xm:f>
            <x14:dxf>
              <font>
                <color theme="0"/>
              </font>
              <fill>
                <patternFill>
                  <bgColor theme="0"/>
                </patternFill>
              </fill>
            </x14:dxf>
          </x14:cfRule>
          <xm:sqref>X137:Y137</xm:sqref>
        </x14:conditionalFormatting>
        <x14:conditionalFormatting xmlns:xm="http://schemas.microsoft.com/office/excel/2006/main">
          <x14:cfRule type="expression" priority="74" id="{52397341-4709-4971-B9C3-8F664875CBFF}">
            <xm:f>$Z$8='Assessment Details'!$Q$23</xm:f>
            <x14:dxf>
              <border>
                <left style="thin">
                  <color theme="0"/>
                </left>
                <right style="thin">
                  <color theme="0"/>
                </right>
                <top style="thin">
                  <color theme="0"/>
                </top>
                <bottom style="thin">
                  <color theme="0"/>
                </bottom>
                <vertical/>
                <horizontal/>
              </border>
            </x14:dxf>
          </x14:cfRule>
          <xm:sqref>X137:Y137</xm:sqref>
        </x14:conditionalFormatting>
        <x14:conditionalFormatting xmlns:xm="http://schemas.microsoft.com/office/excel/2006/main">
          <x14:cfRule type="expression" priority="61" id="{FA10BCCD-5F13-4B32-AEE2-32308139C0B9}">
            <xm:f>$S$8='Assessment Details'!$Q$23</xm:f>
            <x14:dxf>
              <font>
                <color theme="0"/>
              </font>
              <fill>
                <patternFill>
                  <bgColor theme="0"/>
                </patternFill>
              </fill>
              <border>
                <vertical/>
                <horizontal/>
              </border>
            </x14:dxf>
          </x14:cfRule>
          <xm:sqref>N137</xm:sqref>
        </x14:conditionalFormatting>
        <x14:conditionalFormatting xmlns:xm="http://schemas.microsoft.com/office/excel/2006/main">
          <x14:cfRule type="expression" priority="60" id="{C91DA647-F13F-4C74-BD17-677CB8B5CA84}">
            <xm:f>$S$8='Assessment Details'!$Q$23</xm:f>
            <x14:dxf>
              <border>
                <left style="thin">
                  <color theme="0"/>
                </left>
                <right style="thin">
                  <color theme="0"/>
                </right>
                <top style="thin">
                  <color theme="0"/>
                </top>
                <bottom style="thin">
                  <color theme="0"/>
                </bottom>
                <vertical/>
                <horizontal/>
              </border>
            </x14:dxf>
          </x14:cfRule>
          <xm:sqref>N137</xm:sqref>
        </x14:conditionalFormatting>
        <x14:conditionalFormatting xmlns:xm="http://schemas.microsoft.com/office/excel/2006/main">
          <x14:cfRule type="expression" priority="57" id="{EC8A3289-B5B7-47C5-AAE4-1F74BDB5E375}">
            <xm:f>$Z$8='Assessment Details'!$Q$23</xm:f>
            <x14:dxf>
              <font>
                <color theme="0"/>
              </font>
              <fill>
                <patternFill>
                  <bgColor theme="0"/>
                </patternFill>
              </fill>
            </x14:dxf>
          </x14:cfRule>
          <xm:sqref>U137</xm:sqref>
        </x14:conditionalFormatting>
        <x14:conditionalFormatting xmlns:xm="http://schemas.microsoft.com/office/excel/2006/main">
          <x14:cfRule type="expression" priority="56" id="{121D25EC-91F5-4D3E-890D-70BA55A374BA}">
            <xm:f>$Z$8='Assessment Details'!$Q$23</xm:f>
            <x14:dxf>
              <border>
                <left style="thin">
                  <color theme="0"/>
                </left>
                <right style="thin">
                  <color theme="0"/>
                </right>
                <top style="thin">
                  <color theme="0"/>
                </top>
                <bottom style="thin">
                  <color theme="0"/>
                </bottom>
                <vertical/>
                <horizontal/>
              </border>
            </x14:dxf>
          </x14:cfRule>
          <xm:sqref>U137</xm:sqref>
        </x14:conditionalFormatting>
        <x14:conditionalFormatting xmlns:xm="http://schemas.microsoft.com/office/excel/2006/main">
          <x14:cfRule type="expression" priority="43" id="{AF49019E-2662-4209-88EA-2CF060F61E23}">
            <xm:f>$S$8='Assessment Details'!$Q$23</xm:f>
            <x14:dxf>
              <font>
                <color theme="0"/>
              </font>
              <fill>
                <patternFill>
                  <bgColor theme="0"/>
                </patternFill>
              </fill>
              <border>
                <left/>
                <right/>
                <top/>
                <bottom/>
                <vertical/>
                <horizontal/>
              </border>
            </x14:dxf>
          </x14:cfRule>
          <xm:sqref>N150</xm:sqref>
        </x14:conditionalFormatting>
        <x14:conditionalFormatting xmlns:xm="http://schemas.microsoft.com/office/excel/2006/main">
          <x14:cfRule type="expression" priority="45" id="{BACED2D5-0554-4AB0-BC9E-C9E386C9FD08}">
            <xm:f>$S$8='Assessment Details'!$Q$23</xm:f>
            <x14:dxf>
              <font>
                <color theme="0"/>
              </font>
              <fill>
                <patternFill>
                  <bgColor theme="0"/>
                </patternFill>
              </fill>
              <border>
                <vertical/>
                <horizontal/>
              </border>
            </x14:dxf>
          </x14:cfRule>
          <xm:sqref>N150</xm:sqref>
        </x14:conditionalFormatting>
        <x14:conditionalFormatting xmlns:xm="http://schemas.microsoft.com/office/excel/2006/main">
          <x14:cfRule type="expression" priority="44" id="{88AC38AC-4E35-4555-9AE8-7DED49BEDCA0}">
            <xm:f>$S$8='Assessment Details'!$Q$23</xm:f>
            <x14:dxf>
              <border>
                <left style="thin">
                  <color theme="0"/>
                </left>
                <right style="thin">
                  <color theme="0"/>
                </right>
                <top style="thin">
                  <color theme="0"/>
                </top>
                <bottom style="thin">
                  <color theme="0"/>
                </bottom>
                <vertical/>
                <horizontal/>
              </border>
            </x14:dxf>
          </x14:cfRule>
          <xm:sqref>N150</xm:sqref>
        </x14:conditionalFormatting>
        <x14:conditionalFormatting xmlns:xm="http://schemas.microsoft.com/office/excel/2006/main">
          <x14:cfRule type="expression" priority="38" id="{E875EDE0-8C34-4748-9F9C-B8F331626C49}">
            <xm:f>$Z$8='Assessment Details'!$Q$23</xm:f>
            <x14:dxf>
              <font>
                <color theme="0"/>
              </font>
              <fill>
                <patternFill>
                  <bgColor theme="0"/>
                </patternFill>
              </fill>
              <border>
                <left/>
                <right/>
                <top/>
                <bottom/>
              </border>
            </x14:dxf>
          </x14:cfRule>
          <xm:sqref>U150</xm:sqref>
        </x14:conditionalFormatting>
        <x14:conditionalFormatting xmlns:xm="http://schemas.microsoft.com/office/excel/2006/main">
          <x14:cfRule type="expression" priority="40" id="{42163D35-F50D-4FBE-81D5-7F41EEB3A86F}">
            <xm:f>$Z$8='Assessment Details'!$Q$23</xm:f>
            <x14:dxf>
              <font>
                <color theme="0"/>
              </font>
              <fill>
                <patternFill>
                  <bgColor theme="0"/>
                </patternFill>
              </fill>
            </x14:dxf>
          </x14:cfRule>
          <xm:sqref>U150</xm:sqref>
        </x14:conditionalFormatting>
        <x14:conditionalFormatting xmlns:xm="http://schemas.microsoft.com/office/excel/2006/main">
          <x14:cfRule type="expression" priority="39" id="{15E90BDC-D687-4724-99E1-28B8E4950EE5}">
            <xm:f>$Z$8='Assessment Details'!$Q$23</xm:f>
            <x14:dxf>
              <border>
                <left style="thin">
                  <color theme="0"/>
                </left>
                <right style="thin">
                  <color theme="0"/>
                </right>
                <top style="thin">
                  <color theme="0"/>
                </top>
                <bottom style="thin">
                  <color theme="0"/>
                </bottom>
                <vertical/>
                <horizontal/>
              </border>
            </x14:dxf>
          </x14:cfRule>
          <xm:sqref>U150</xm:sqref>
        </x14:conditionalFormatting>
        <x14:conditionalFormatting xmlns:xm="http://schemas.microsoft.com/office/excel/2006/main">
          <x14:cfRule type="expression" priority="31" id="{A46B1BCF-8CD0-4386-BFAA-1774BEBD0616}">
            <xm:f>$S$8='Assessment Details'!$Q$23</xm:f>
            <x14:dxf>
              <font>
                <color theme="0"/>
              </font>
              <fill>
                <patternFill>
                  <bgColor theme="0"/>
                </patternFill>
              </fill>
              <border>
                <left/>
                <right/>
                <top/>
                <bottom/>
                <vertical/>
                <horizontal/>
              </border>
            </x14:dxf>
          </x14:cfRule>
          <xm:sqref>N149</xm:sqref>
        </x14:conditionalFormatting>
        <x14:conditionalFormatting xmlns:xm="http://schemas.microsoft.com/office/excel/2006/main">
          <x14:cfRule type="expression" priority="33" id="{663A9820-0F9C-4D23-A4D4-B1B4AF4ECE10}">
            <xm:f>$S$8='Assessment Details'!$Q$23</xm:f>
            <x14:dxf>
              <font>
                <color theme="0"/>
              </font>
              <fill>
                <patternFill>
                  <bgColor theme="0"/>
                </patternFill>
              </fill>
              <border>
                <vertical/>
                <horizontal/>
              </border>
            </x14:dxf>
          </x14:cfRule>
          <xm:sqref>N149</xm:sqref>
        </x14:conditionalFormatting>
        <x14:conditionalFormatting xmlns:xm="http://schemas.microsoft.com/office/excel/2006/main">
          <x14:cfRule type="expression" priority="32" id="{CFE9D092-6979-49C0-96B0-AE4EEF087773}">
            <xm:f>$S$8='Assessment Details'!$Q$23</xm:f>
            <x14:dxf>
              <border>
                <left style="thin">
                  <color theme="0"/>
                </left>
                <right style="thin">
                  <color theme="0"/>
                </right>
                <top style="thin">
                  <color theme="0"/>
                </top>
                <bottom style="thin">
                  <color theme="0"/>
                </bottom>
                <vertical/>
                <horizontal/>
              </border>
            </x14:dxf>
          </x14:cfRule>
          <xm:sqref>N149</xm:sqref>
        </x14:conditionalFormatting>
        <x14:conditionalFormatting xmlns:xm="http://schemas.microsoft.com/office/excel/2006/main">
          <x14:cfRule type="expression" priority="26" id="{20FD717F-207B-440A-ADD0-306DBF565F2E}">
            <xm:f>$Z$8='Assessment Details'!$Q$23</xm:f>
            <x14:dxf>
              <font>
                <color theme="0"/>
              </font>
              <fill>
                <patternFill>
                  <bgColor theme="0"/>
                </patternFill>
              </fill>
              <border>
                <left/>
                <right/>
                <top/>
                <bottom/>
              </border>
            </x14:dxf>
          </x14:cfRule>
          <xm:sqref>U149</xm:sqref>
        </x14:conditionalFormatting>
        <x14:conditionalFormatting xmlns:xm="http://schemas.microsoft.com/office/excel/2006/main">
          <x14:cfRule type="expression" priority="28" id="{9F1446FF-EF02-41B9-82C6-D7BAC1237BF2}">
            <xm:f>$Z$8='Assessment Details'!$Q$23</xm:f>
            <x14:dxf>
              <font>
                <color theme="0"/>
              </font>
              <fill>
                <patternFill>
                  <bgColor theme="0"/>
                </patternFill>
              </fill>
            </x14:dxf>
          </x14:cfRule>
          <xm:sqref>U149</xm:sqref>
        </x14:conditionalFormatting>
        <x14:conditionalFormatting xmlns:xm="http://schemas.microsoft.com/office/excel/2006/main">
          <x14:cfRule type="expression" priority="27" id="{03603EAF-29D2-4CE3-97E4-DEF60729EBFE}">
            <xm:f>$Z$8='Assessment Details'!$Q$23</xm:f>
            <x14:dxf>
              <border>
                <left style="thin">
                  <color theme="0"/>
                </left>
                <right style="thin">
                  <color theme="0"/>
                </right>
                <top style="thin">
                  <color theme="0"/>
                </top>
                <bottom style="thin">
                  <color theme="0"/>
                </bottom>
                <vertical/>
                <horizontal/>
              </border>
            </x14:dxf>
          </x14:cfRule>
          <xm:sqref>U149</xm:sqref>
        </x14:conditionalFormatting>
        <x14:conditionalFormatting xmlns:xm="http://schemas.microsoft.com/office/excel/2006/main">
          <x14:cfRule type="expression" priority="19" id="{55F5A51F-75CA-45F9-9165-8F11F4CDBE1C}">
            <xm:f>$S$8='Assessment Details'!$Q$23</xm:f>
            <x14:dxf>
              <font>
                <color theme="0"/>
              </font>
              <fill>
                <patternFill>
                  <bgColor theme="0"/>
                </patternFill>
              </fill>
              <border>
                <left/>
                <right/>
                <top/>
                <bottom/>
                <vertical/>
                <horizontal/>
              </border>
            </x14:dxf>
          </x14:cfRule>
          <xm:sqref>N106</xm:sqref>
        </x14:conditionalFormatting>
        <x14:conditionalFormatting xmlns:xm="http://schemas.microsoft.com/office/excel/2006/main">
          <x14:cfRule type="expression" priority="21" id="{4D01DAE4-212E-4DED-A916-22EBFEB3DFC8}">
            <xm:f>$S$8='Assessment Details'!$Q$23</xm:f>
            <x14:dxf>
              <font>
                <color theme="0"/>
              </font>
              <fill>
                <patternFill>
                  <bgColor theme="0"/>
                </patternFill>
              </fill>
              <border>
                <vertical/>
                <horizontal/>
              </border>
            </x14:dxf>
          </x14:cfRule>
          <xm:sqref>N106</xm:sqref>
        </x14:conditionalFormatting>
        <x14:conditionalFormatting xmlns:xm="http://schemas.microsoft.com/office/excel/2006/main">
          <x14:cfRule type="expression" priority="20" id="{F4314185-D2A0-4278-B824-A5680490493E}">
            <xm:f>$S$8='Assessment Details'!$Q$23</xm:f>
            <x14:dxf>
              <border>
                <left style="thin">
                  <color theme="0"/>
                </left>
                <right style="thin">
                  <color theme="0"/>
                </right>
                <top style="thin">
                  <color theme="0"/>
                </top>
                <bottom style="thin">
                  <color theme="0"/>
                </bottom>
                <vertical/>
                <horizontal/>
              </border>
            </x14:dxf>
          </x14:cfRule>
          <xm:sqref>N106</xm:sqref>
        </x14:conditionalFormatting>
        <x14:conditionalFormatting xmlns:xm="http://schemas.microsoft.com/office/excel/2006/main">
          <x14:cfRule type="expression" priority="14" id="{9A7DA104-7852-41A0-B413-5ADC0E4143AF}">
            <xm:f>$Z$8='Assessment Details'!$Q$23</xm:f>
            <x14:dxf>
              <font>
                <color theme="0"/>
              </font>
              <fill>
                <patternFill>
                  <bgColor theme="0"/>
                </patternFill>
              </fill>
              <border>
                <left/>
                <right/>
                <top/>
                <bottom/>
              </border>
            </x14:dxf>
          </x14:cfRule>
          <xm:sqref>U106</xm:sqref>
        </x14:conditionalFormatting>
        <x14:conditionalFormatting xmlns:xm="http://schemas.microsoft.com/office/excel/2006/main">
          <x14:cfRule type="expression" priority="16" id="{F7596359-9DFB-41E7-9DA6-1C852E1418CC}">
            <xm:f>$Z$8='Assessment Details'!$Q$23</xm:f>
            <x14:dxf>
              <font>
                <color theme="0"/>
              </font>
              <fill>
                <patternFill>
                  <bgColor theme="0"/>
                </patternFill>
              </fill>
            </x14:dxf>
          </x14:cfRule>
          <xm:sqref>U106</xm:sqref>
        </x14:conditionalFormatting>
        <x14:conditionalFormatting xmlns:xm="http://schemas.microsoft.com/office/excel/2006/main">
          <x14:cfRule type="expression" priority="15" id="{A9DFE456-60D4-4BE9-B0ED-DA081A0271D1}">
            <xm:f>$Z$8='Assessment Details'!$Q$23</xm:f>
            <x14:dxf>
              <border>
                <left style="thin">
                  <color theme="0"/>
                </left>
                <right style="thin">
                  <color theme="0"/>
                </right>
                <top style="thin">
                  <color theme="0"/>
                </top>
                <bottom style="thin">
                  <color theme="0"/>
                </bottom>
                <vertical/>
                <horizontal/>
              </border>
            </x14:dxf>
          </x14:cfRule>
          <xm:sqref>U106</xm:sqref>
        </x14:conditionalFormatting>
        <x14:conditionalFormatting xmlns:xm="http://schemas.microsoft.com/office/excel/2006/main">
          <x14:cfRule type="expression" priority="9" id="{17C4D998-A4A6-4445-8DF3-2384226DAAA7}">
            <xm:f>$S$8='Assessment Details'!$Q$23</xm:f>
            <x14:dxf>
              <font>
                <color theme="0"/>
              </font>
              <fill>
                <patternFill>
                  <bgColor theme="0"/>
                </patternFill>
              </fill>
              <border>
                <left/>
                <right/>
                <top/>
                <bottom/>
                <vertical/>
                <horizontal/>
              </border>
            </x14:dxf>
          </x14:cfRule>
          <xm:sqref>N105</xm:sqref>
        </x14:conditionalFormatting>
        <x14:conditionalFormatting xmlns:xm="http://schemas.microsoft.com/office/excel/2006/main">
          <x14:cfRule type="expression" priority="11" id="{D72D6DDA-FFAC-4B57-841F-7DDC82B1A981}">
            <xm:f>$S$8='Assessment Details'!$Q$23</xm:f>
            <x14:dxf>
              <font>
                <color theme="0"/>
              </font>
              <fill>
                <patternFill>
                  <bgColor theme="0"/>
                </patternFill>
              </fill>
              <border>
                <vertical/>
                <horizontal/>
              </border>
            </x14:dxf>
          </x14:cfRule>
          <xm:sqref>N105</xm:sqref>
        </x14:conditionalFormatting>
        <x14:conditionalFormatting xmlns:xm="http://schemas.microsoft.com/office/excel/2006/main">
          <x14:cfRule type="expression" priority="10" id="{7ED2FCC3-E8E9-45FD-A850-83F42A77D77E}">
            <xm:f>$S$8='Assessment Details'!$Q$23</xm:f>
            <x14:dxf>
              <border>
                <left style="thin">
                  <color theme="0"/>
                </left>
                <right style="thin">
                  <color theme="0"/>
                </right>
                <top style="thin">
                  <color theme="0"/>
                </top>
                <bottom style="thin">
                  <color theme="0"/>
                </bottom>
                <vertical/>
                <horizontal/>
              </border>
            </x14:dxf>
          </x14:cfRule>
          <xm:sqref>N105</xm:sqref>
        </x14:conditionalFormatting>
        <x14:conditionalFormatting xmlns:xm="http://schemas.microsoft.com/office/excel/2006/main">
          <x14:cfRule type="expression" priority="4" id="{30DBE182-A183-4E95-8D5A-A9F398975206}">
            <xm:f>$Z$8='Assessment Details'!$Q$23</xm:f>
            <x14:dxf>
              <font>
                <color theme="0"/>
              </font>
              <fill>
                <patternFill>
                  <bgColor theme="0"/>
                </patternFill>
              </fill>
              <border>
                <left/>
                <right/>
                <top/>
                <bottom/>
              </border>
            </x14:dxf>
          </x14:cfRule>
          <xm:sqref>U105</xm:sqref>
        </x14:conditionalFormatting>
        <x14:conditionalFormatting xmlns:xm="http://schemas.microsoft.com/office/excel/2006/main">
          <x14:cfRule type="expression" priority="6" id="{547E3762-46C6-4BA6-BFF0-8EE8D88B0A50}">
            <xm:f>$Z$8='Assessment Details'!$Q$23</xm:f>
            <x14:dxf>
              <font>
                <color theme="0"/>
              </font>
              <fill>
                <patternFill>
                  <bgColor theme="0"/>
                </patternFill>
              </fill>
            </x14:dxf>
          </x14:cfRule>
          <xm:sqref>U105</xm:sqref>
        </x14:conditionalFormatting>
        <x14:conditionalFormatting xmlns:xm="http://schemas.microsoft.com/office/excel/2006/main">
          <x14:cfRule type="expression" priority="5" id="{603D39AB-06BB-41A3-BB2F-ABC5ADEE2C7A}">
            <xm:f>$Z$8='Assessment Details'!$Q$23</xm:f>
            <x14:dxf>
              <border>
                <left style="thin">
                  <color theme="0"/>
                </left>
                <right style="thin">
                  <color theme="0"/>
                </right>
                <top style="thin">
                  <color theme="0"/>
                </top>
                <bottom style="thin">
                  <color theme="0"/>
                </bottom>
                <vertical/>
                <horizontal/>
              </border>
            </x14:dxf>
          </x14:cfRule>
          <xm:sqref>U105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EDB0E46E-A690-4E9E-907B-0DEBCF537ED9}">
          <x14:formula1>
            <xm:f>'Assessment Details'!$R$51:$R$53</xm:f>
          </x14:formula1>
          <xm:sqref>G235 U235:W235 N235:P235</xm:sqref>
        </x14:dataValidation>
        <x14:dataValidation type="list" allowBlank="1" showInputMessage="1" showErrorMessage="1" xr:uid="{7BAB7664-1657-4388-A667-A1B92AB1F5BD}">
          <x14:formula1>
            <xm:f>'Assessment Details'!$S$51:$S$54</xm:f>
          </x14:formula1>
          <xm:sqref>G245 U245:W245 N245:P245</xm:sqref>
        </x14:dataValidation>
        <x14:dataValidation type="list" allowBlank="1" showInputMessage="1" showErrorMessage="1" xr:uid="{069A6983-AA53-496E-9371-44617596A3B1}">
          <x14:formula1>
            <xm:f>'Assessment Details'!$Y$51:$Y$54</xm:f>
          </x14:formula1>
          <xm:sqref>G258 U258:W258 N258:P258</xm:sqref>
        </x14:dataValidation>
        <x14:dataValidation type="list" allowBlank="1" showInputMessage="1" showErrorMessage="1" xr:uid="{015A6392-D46D-4C91-823D-B5853B933604}">
          <x14:formula1>
            <xm:f>'Assessment Details'!$V$51:$V$53</xm:f>
          </x14:formula1>
          <xm:sqref>G253 U253:W253 N253:P253</xm:sqref>
        </x14:dataValidation>
        <x14:dataValidation type="list" allowBlank="1" showInputMessage="1" showErrorMessage="1" xr:uid="{0FCCE17B-5FA7-4A25-8B07-FF398FDC2B42}">
          <x14:formula1>
            <xm:f>'Assessment Details'!$T$51:$T$53</xm:f>
          </x14:formula1>
          <xm:sqref>G246 U246:W246 N246:P246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7407-5863-4540-8005-DCA0DF80D7D1}">
  <dimension ref="B3:F158"/>
  <sheetViews>
    <sheetView workbookViewId="0">
      <selection activeCell="I36" sqref="I36"/>
    </sheetView>
  </sheetViews>
  <sheetFormatPr defaultColWidth="8.7109375" defaultRowHeight="15" x14ac:dyDescent="0.25"/>
  <cols>
    <col min="2" max="2" width="15.140625" bestFit="1" customWidth="1"/>
    <col min="3" max="3" width="71.85546875" bestFit="1" customWidth="1"/>
    <col min="5" max="5" width="22.42578125" bestFit="1" customWidth="1"/>
  </cols>
  <sheetData>
    <row r="3" spans="2:6" x14ac:dyDescent="0.25">
      <c r="B3" s="1306" t="s">
        <v>343</v>
      </c>
      <c r="C3" s="1306" t="s">
        <v>344</v>
      </c>
      <c r="D3" s="1308" t="s">
        <v>832</v>
      </c>
      <c r="E3" s="1306" t="s">
        <v>833</v>
      </c>
      <c r="F3" s="1307" t="s">
        <v>346</v>
      </c>
    </row>
    <row r="4" spans="2:6" x14ac:dyDescent="0.25">
      <c r="B4" s="1306"/>
      <c r="C4" s="1306"/>
      <c r="D4" s="1308"/>
      <c r="E4" s="1306"/>
      <c r="F4" s="1307"/>
    </row>
    <row r="5" spans="2:6" x14ac:dyDescent="0.25">
      <c r="B5" s="1306"/>
      <c r="C5" s="1306"/>
      <c r="D5" s="1308"/>
      <c r="E5" s="1306"/>
      <c r="F5" s="1307"/>
    </row>
    <row r="6" spans="2:6" x14ac:dyDescent="0.25">
      <c r="B6" s="882" t="s">
        <v>347</v>
      </c>
      <c r="C6" s="882"/>
      <c r="D6" s="891"/>
      <c r="E6" s="882"/>
      <c r="F6" s="883"/>
    </row>
    <row r="7" spans="2:6" x14ac:dyDescent="0.25">
      <c r="B7" s="1309" t="s">
        <v>93</v>
      </c>
      <c r="C7" s="1291" t="s">
        <v>834</v>
      </c>
      <c r="D7" s="1292"/>
      <c r="E7" s="1292"/>
      <c r="F7" s="1293"/>
    </row>
    <row r="8" spans="2:6" x14ac:dyDescent="0.25">
      <c r="B8" s="1310"/>
      <c r="C8" s="887" t="s">
        <v>587</v>
      </c>
      <c r="D8" s="892">
        <v>1</v>
      </c>
      <c r="E8" s="902">
        <v>1</v>
      </c>
      <c r="F8" s="903" t="s">
        <v>348</v>
      </c>
    </row>
    <row r="9" spans="2:6" x14ac:dyDescent="0.25">
      <c r="B9" s="1310"/>
      <c r="C9" s="887" t="s">
        <v>588</v>
      </c>
      <c r="D9" s="892">
        <v>1</v>
      </c>
      <c r="E9" s="902">
        <v>1</v>
      </c>
      <c r="F9" s="903" t="s">
        <v>348</v>
      </c>
    </row>
    <row r="10" spans="2:6" x14ac:dyDescent="0.25">
      <c r="B10" s="1310"/>
      <c r="C10" s="887" t="s">
        <v>589</v>
      </c>
      <c r="D10" s="892">
        <v>2</v>
      </c>
      <c r="E10" s="902">
        <v>2</v>
      </c>
      <c r="F10" s="903" t="s">
        <v>348</v>
      </c>
    </row>
    <row r="11" spans="2:6" x14ac:dyDescent="0.25">
      <c r="B11" s="1311"/>
      <c r="C11" s="887" t="s">
        <v>590</v>
      </c>
      <c r="D11" s="892">
        <v>1</v>
      </c>
      <c r="E11" s="902">
        <v>1</v>
      </c>
      <c r="F11" s="903" t="s">
        <v>348</v>
      </c>
    </row>
    <row r="12" spans="2:6" x14ac:dyDescent="0.25">
      <c r="B12" s="1309" t="s">
        <v>94</v>
      </c>
      <c r="C12" s="1291" t="s">
        <v>835</v>
      </c>
      <c r="D12" s="1292"/>
      <c r="E12" s="1292"/>
      <c r="F12" s="1293"/>
    </row>
    <row r="13" spans="2:6" x14ac:dyDescent="0.25">
      <c r="B13" s="1310"/>
      <c r="C13" s="887" t="s">
        <v>592</v>
      </c>
      <c r="D13" s="892">
        <v>2</v>
      </c>
      <c r="E13" s="904">
        <v>2</v>
      </c>
      <c r="F13" s="903" t="s">
        <v>348</v>
      </c>
    </row>
    <row r="14" spans="2:6" x14ac:dyDescent="0.25">
      <c r="B14" s="1311"/>
      <c r="C14" s="887" t="s">
        <v>593</v>
      </c>
      <c r="D14" s="892">
        <v>1</v>
      </c>
      <c r="E14" s="904">
        <v>1</v>
      </c>
      <c r="F14" s="903" t="s">
        <v>348</v>
      </c>
    </row>
    <row r="15" spans="2:6" x14ac:dyDescent="0.25">
      <c r="B15" s="1309" t="s">
        <v>95</v>
      </c>
      <c r="C15" s="1291" t="s">
        <v>349</v>
      </c>
      <c r="D15" s="1292"/>
      <c r="E15" s="1292"/>
      <c r="F15" s="1293"/>
    </row>
    <row r="16" spans="2:6" x14ac:dyDescent="0.25">
      <c r="B16" s="1310"/>
      <c r="C16" s="887" t="s">
        <v>594</v>
      </c>
      <c r="D16" s="892">
        <v>1</v>
      </c>
      <c r="E16" s="902">
        <v>1</v>
      </c>
      <c r="F16" s="903" t="s">
        <v>348</v>
      </c>
    </row>
    <row r="17" spans="2:6" x14ac:dyDescent="0.25">
      <c r="B17" s="1310"/>
      <c r="C17" s="887" t="s">
        <v>595</v>
      </c>
      <c r="D17" s="892">
        <v>1</v>
      </c>
      <c r="E17" s="902">
        <v>1</v>
      </c>
      <c r="F17" s="903" t="s">
        <v>348</v>
      </c>
    </row>
    <row r="18" spans="2:6" x14ac:dyDescent="0.25">
      <c r="B18" s="1310"/>
      <c r="C18" s="887" t="s">
        <v>596</v>
      </c>
      <c r="D18" s="892">
        <v>2</v>
      </c>
      <c r="E18" s="902">
        <v>2</v>
      </c>
      <c r="F18" s="903" t="s">
        <v>348</v>
      </c>
    </row>
    <row r="19" spans="2:6" x14ac:dyDescent="0.25">
      <c r="B19" s="1311"/>
      <c r="C19" s="887" t="s">
        <v>597</v>
      </c>
      <c r="D19" s="892">
        <v>1</v>
      </c>
      <c r="E19" s="902">
        <v>1</v>
      </c>
      <c r="F19" s="903" t="s">
        <v>348</v>
      </c>
    </row>
    <row r="20" spans="2:6" x14ac:dyDescent="0.25">
      <c r="B20" s="1309" t="s">
        <v>96</v>
      </c>
      <c r="C20" s="1291" t="s">
        <v>350</v>
      </c>
      <c r="D20" s="1292"/>
      <c r="E20" s="1292"/>
      <c r="F20" s="1293"/>
    </row>
    <row r="21" spans="2:6" x14ac:dyDescent="0.25">
      <c r="B21" s="1310"/>
      <c r="C21" s="887" t="s">
        <v>598</v>
      </c>
      <c r="D21" s="892">
        <v>1</v>
      </c>
      <c r="E21" s="902">
        <v>1</v>
      </c>
      <c r="F21" s="903" t="s">
        <v>348</v>
      </c>
    </row>
    <row r="22" spans="2:6" x14ac:dyDescent="0.25">
      <c r="B22" s="1310"/>
      <c r="C22" s="887" t="s">
        <v>599</v>
      </c>
      <c r="D22" s="892">
        <v>1</v>
      </c>
      <c r="E22" s="902">
        <v>1</v>
      </c>
      <c r="F22" s="903" t="s">
        <v>348</v>
      </c>
    </row>
    <row r="23" spans="2:6" x14ac:dyDescent="0.25">
      <c r="B23" s="1311"/>
      <c r="C23" s="887" t="s">
        <v>600</v>
      </c>
      <c r="D23" s="892">
        <v>1</v>
      </c>
      <c r="E23" s="902">
        <v>1</v>
      </c>
      <c r="F23" s="903" t="s">
        <v>348</v>
      </c>
    </row>
    <row r="24" spans="2:6" x14ac:dyDescent="0.25">
      <c r="B24" s="1312" t="s">
        <v>97</v>
      </c>
      <c r="C24" s="1292" t="s">
        <v>351</v>
      </c>
      <c r="D24" s="1292"/>
      <c r="E24" s="1292"/>
      <c r="F24" s="1293"/>
    </row>
    <row r="25" spans="2:6" x14ac:dyDescent="0.25">
      <c r="B25" s="1313"/>
      <c r="C25" s="887" t="s">
        <v>601</v>
      </c>
      <c r="D25" s="892">
        <v>1</v>
      </c>
      <c r="E25" s="902">
        <v>1</v>
      </c>
      <c r="F25" s="903" t="s">
        <v>348</v>
      </c>
    </row>
    <row r="26" spans="2:6" x14ac:dyDescent="0.25">
      <c r="B26" s="1313"/>
      <c r="C26" s="887" t="s">
        <v>602</v>
      </c>
      <c r="D26" s="892">
        <v>1</v>
      </c>
      <c r="E26" s="902">
        <v>1</v>
      </c>
      <c r="F26" s="903" t="s">
        <v>348</v>
      </c>
    </row>
    <row r="27" spans="2:6" x14ac:dyDescent="0.25">
      <c r="B27" s="1313"/>
      <c r="C27" s="887" t="s">
        <v>603</v>
      </c>
      <c r="D27" s="892">
        <v>1</v>
      </c>
      <c r="E27" s="902">
        <v>1</v>
      </c>
      <c r="F27" s="903" t="s">
        <v>348</v>
      </c>
    </row>
    <row r="28" spans="2:6" x14ac:dyDescent="0.25">
      <c r="B28" s="885" t="s">
        <v>352</v>
      </c>
      <c r="C28" s="884"/>
      <c r="D28" s="893"/>
      <c r="E28" s="885"/>
      <c r="F28" s="905"/>
    </row>
    <row r="29" spans="2:6" x14ac:dyDescent="0.25">
      <c r="B29" s="1303" t="s">
        <v>118</v>
      </c>
      <c r="C29" s="1297" t="s">
        <v>836</v>
      </c>
      <c r="D29" s="1298"/>
      <c r="E29" s="1298"/>
      <c r="F29" s="1299"/>
    </row>
    <row r="30" spans="2:6" x14ac:dyDescent="0.25">
      <c r="B30" s="1304"/>
      <c r="C30" s="889" t="s">
        <v>604</v>
      </c>
      <c r="D30" s="892">
        <v>3</v>
      </c>
      <c r="E30" s="906">
        <v>3</v>
      </c>
      <c r="F30" s="907" t="s">
        <v>348</v>
      </c>
    </row>
    <row r="31" spans="2:6" x14ac:dyDescent="0.25">
      <c r="B31" s="1304"/>
      <c r="C31" s="889" t="s">
        <v>605</v>
      </c>
      <c r="D31" s="892">
        <v>1</v>
      </c>
      <c r="E31" s="908">
        <v>1</v>
      </c>
      <c r="F31" s="909" t="s">
        <v>348</v>
      </c>
    </row>
    <row r="32" spans="2:6" x14ac:dyDescent="0.25">
      <c r="B32" s="1304"/>
      <c r="C32" s="889" t="s">
        <v>606</v>
      </c>
      <c r="D32" s="892">
        <v>1</v>
      </c>
      <c r="E32" s="908">
        <v>1</v>
      </c>
      <c r="F32" s="909" t="s">
        <v>348</v>
      </c>
    </row>
    <row r="33" spans="2:6" x14ac:dyDescent="0.25">
      <c r="B33" s="1304"/>
      <c r="C33" s="889" t="s">
        <v>607</v>
      </c>
      <c r="D33" s="892" t="s">
        <v>236</v>
      </c>
      <c r="E33" s="908" t="s">
        <v>236</v>
      </c>
      <c r="F33" s="909" t="s">
        <v>353</v>
      </c>
    </row>
    <row r="34" spans="2:6" x14ac:dyDescent="0.25">
      <c r="B34" s="1305"/>
      <c r="C34" s="889" t="s">
        <v>608</v>
      </c>
      <c r="D34" s="892">
        <v>1</v>
      </c>
      <c r="E34" s="902">
        <v>1</v>
      </c>
      <c r="F34" s="907" t="s">
        <v>353</v>
      </c>
    </row>
    <row r="35" spans="2:6" x14ac:dyDescent="0.25">
      <c r="B35" s="1303" t="s">
        <v>119</v>
      </c>
      <c r="C35" s="1297" t="s">
        <v>837</v>
      </c>
      <c r="D35" s="1298"/>
      <c r="E35" s="1298"/>
      <c r="F35" s="1299"/>
    </row>
    <row r="36" spans="2:6" x14ac:dyDescent="0.25">
      <c r="B36" s="1304"/>
      <c r="C36" s="889" t="s">
        <v>610</v>
      </c>
      <c r="D36" s="892">
        <v>1</v>
      </c>
      <c r="E36" s="902">
        <v>1</v>
      </c>
      <c r="F36" s="907"/>
    </row>
    <row r="37" spans="2:6" x14ac:dyDescent="0.25">
      <c r="B37" s="1304"/>
      <c r="C37" s="888" t="s">
        <v>611</v>
      </c>
      <c r="D37" s="892">
        <v>2</v>
      </c>
      <c r="E37" s="902">
        <v>2</v>
      </c>
      <c r="F37" s="907" t="s">
        <v>348</v>
      </c>
    </row>
    <row r="38" spans="2:6" x14ac:dyDescent="0.25">
      <c r="B38" s="1305"/>
      <c r="C38" s="888" t="s">
        <v>612</v>
      </c>
      <c r="D38" s="892">
        <v>1</v>
      </c>
      <c r="E38" s="910">
        <v>1</v>
      </c>
      <c r="F38" s="907" t="s">
        <v>348</v>
      </c>
    </row>
    <row r="39" spans="2:6" x14ac:dyDescent="0.25">
      <c r="B39" s="1303" t="s">
        <v>120</v>
      </c>
      <c r="C39" s="1297" t="s">
        <v>838</v>
      </c>
      <c r="D39" s="1298"/>
      <c r="E39" s="1298"/>
      <c r="F39" s="1299"/>
    </row>
    <row r="40" spans="2:6" x14ac:dyDescent="0.25">
      <c r="B40" s="1304"/>
      <c r="C40" s="889" t="s">
        <v>613</v>
      </c>
      <c r="D40" s="892">
        <v>1</v>
      </c>
      <c r="E40" s="902">
        <v>1</v>
      </c>
      <c r="F40" s="907" t="s">
        <v>348</v>
      </c>
    </row>
    <row r="41" spans="2:6" x14ac:dyDescent="0.25">
      <c r="B41" s="1304"/>
      <c r="C41" s="888" t="s">
        <v>614</v>
      </c>
      <c r="D41" s="892">
        <v>1</v>
      </c>
      <c r="E41" s="902">
        <v>1</v>
      </c>
      <c r="F41" s="907" t="s">
        <v>348</v>
      </c>
    </row>
    <row r="42" spans="2:6" x14ac:dyDescent="0.25">
      <c r="B42" s="1305"/>
      <c r="C42" s="888" t="s">
        <v>839</v>
      </c>
      <c r="D42" s="892">
        <v>1</v>
      </c>
      <c r="E42" s="902">
        <v>1</v>
      </c>
      <c r="F42" s="907" t="s">
        <v>348</v>
      </c>
    </row>
    <row r="43" spans="2:6" x14ac:dyDescent="0.25">
      <c r="B43" s="890" t="s">
        <v>122</v>
      </c>
      <c r="C43" s="895" t="s">
        <v>617</v>
      </c>
      <c r="D43" s="892">
        <v>3</v>
      </c>
      <c r="E43" s="906">
        <v>3</v>
      </c>
      <c r="F43" s="907" t="s">
        <v>348</v>
      </c>
    </row>
    <row r="44" spans="2:6" x14ac:dyDescent="0.25">
      <c r="B44" s="1294" t="s">
        <v>123</v>
      </c>
      <c r="C44" s="1297" t="s">
        <v>840</v>
      </c>
      <c r="D44" s="1298"/>
      <c r="E44" s="1298"/>
      <c r="F44" s="1299"/>
    </row>
    <row r="45" spans="2:6" x14ac:dyDescent="0.25">
      <c r="B45" s="1295"/>
      <c r="C45" s="889" t="s">
        <v>841</v>
      </c>
      <c r="D45" s="892">
        <v>1</v>
      </c>
      <c r="E45" s="906">
        <v>1</v>
      </c>
      <c r="F45" s="911" t="s">
        <v>348</v>
      </c>
    </row>
    <row r="46" spans="2:6" x14ac:dyDescent="0.25">
      <c r="B46" s="1296"/>
      <c r="C46" s="888" t="s">
        <v>842</v>
      </c>
      <c r="D46" s="892">
        <v>1</v>
      </c>
      <c r="E46" s="906">
        <v>1</v>
      </c>
      <c r="F46" s="911" t="s">
        <v>348</v>
      </c>
    </row>
    <row r="47" spans="2:6" x14ac:dyDescent="0.25">
      <c r="B47" s="890" t="s">
        <v>125</v>
      </c>
      <c r="C47" s="895" t="s">
        <v>354</v>
      </c>
      <c r="D47" s="892" t="s">
        <v>236</v>
      </c>
      <c r="E47" s="902" t="s">
        <v>236</v>
      </c>
      <c r="F47" s="907" t="s">
        <v>353</v>
      </c>
    </row>
    <row r="48" spans="2:6" x14ac:dyDescent="0.25">
      <c r="B48" s="886"/>
      <c r="C48" s="884"/>
      <c r="D48" s="893"/>
      <c r="E48" s="885"/>
      <c r="F48" s="905"/>
    </row>
    <row r="49" spans="2:6" x14ac:dyDescent="0.25">
      <c r="B49" s="885" t="s">
        <v>355</v>
      </c>
      <c r="C49" s="884"/>
      <c r="D49" s="893"/>
      <c r="E49" s="885"/>
      <c r="F49" s="905"/>
    </row>
    <row r="50" spans="2:6" x14ac:dyDescent="0.25">
      <c r="B50" s="1294" t="s">
        <v>136</v>
      </c>
      <c r="C50" s="1297" t="s">
        <v>843</v>
      </c>
      <c r="D50" s="1298"/>
      <c r="E50" s="1298"/>
      <c r="F50" s="1299"/>
    </row>
    <row r="51" spans="2:6" x14ac:dyDescent="0.25">
      <c r="B51" s="1295"/>
      <c r="C51" s="889" t="s">
        <v>621</v>
      </c>
      <c r="D51" s="892">
        <v>2</v>
      </c>
      <c r="E51" s="902">
        <v>2</v>
      </c>
      <c r="F51" s="903" t="s">
        <v>348</v>
      </c>
    </row>
    <row r="52" spans="2:6" x14ac:dyDescent="0.25">
      <c r="B52" s="1295"/>
      <c r="C52" s="888" t="s">
        <v>622</v>
      </c>
      <c r="D52" s="892">
        <v>1</v>
      </c>
      <c r="E52" s="902">
        <v>1</v>
      </c>
      <c r="F52" s="903" t="s">
        <v>348</v>
      </c>
    </row>
    <row r="53" spans="2:6" x14ac:dyDescent="0.25">
      <c r="B53" s="1295"/>
      <c r="C53" s="888" t="s">
        <v>623</v>
      </c>
      <c r="D53" s="892">
        <v>4</v>
      </c>
      <c r="E53" s="902">
        <v>4</v>
      </c>
      <c r="F53" s="903" t="s">
        <v>348</v>
      </c>
    </row>
    <row r="54" spans="2:6" x14ac:dyDescent="0.25">
      <c r="B54" s="1295"/>
      <c r="C54" s="888" t="s">
        <v>624</v>
      </c>
      <c r="D54" s="892">
        <v>1</v>
      </c>
      <c r="E54" s="902">
        <v>1</v>
      </c>
      <c r="F54" s="903" t="s">
        <v>348</v>
      </c>
    </row>
    <row r="55" spans="2:6" x14ac:dyDescent="0.25">
      <c r="B55" s="1296"/>
      <c r="C55" s="888" t="s">
        <v>625</v>
      </c>
      <c r="D55" s="892">
        <v>4</v>
      </c>
      <c r="E55" s="902">
        <v>4</v>
      </c>
      <c r="F55" s="903" t="s">
        <v>348</v>
      </c>
    </row>
    <row r="56" spans="2:6" x14ac:dyDescent="0.25">
      <c r="B56" s="1294" t="s">
        <v>137</v>
      </c>
      <c r="C56" s="1300" t="s">
        <v>844</v>
      </c>
      <c r="D56" s="1301"/>
      <c r="E56" s="1301"/>
      <c r="F56" s="1302"/>
    </row>
    <row r="57" spans="2:6" x14ac:dyDescent="0.25">
      <c r="B57" s="1295"/>
      <c r="C57" s="888" t="s">
        <v>626</v>
      </c>
      <c r="D57" s="892">
        <v>1</v>
      </c>
      <c r="E57" s="902">
        <v>1</v>
      </c>
      <c r="F57" s="912" t="s">
        <v>348</v>
      </c>
    </row>
    <row r="58" spans="2:6" x14ac:dyDescent="0.25">
      <c r="B58" s="1295"/>
      <c r="C58" s="888" t="s">
        <v>627</v>
      </c>
      <c r="D58" s="892">
        <v>1</v>
      </c>
      <c r="E58" s="902">
        <v>1</v>
      </c>
      <c r="F58" s="912" t="s">
        <v>348</v>
      </c>
    </row>
    <row r="59" spans="2:6" x14ac:dyDescent="0.25">
      <c r="B59" s="1296"/>
      <c r="C59" s="888" t="s">
        <v>628</v>
      </c>
      <c r="D59" s="892" t="s">
        <v>236</v>
      </c>
      <c r="E59" s="902" t="s">
        <v>236</v>
      </c>
      <c r="F59" s="912" t="s">
        <v>353</v>
      </c>
    </row>
    <row r="60" spans="2:6" x14ac:dyDescent="0.25">
      <c r="B60" s="890" t="s">
        <v>138</v>
      </c>
      <c r="C60" s="901" t="s">
        <v>357</v>
      </c>
      <c r="D60" s="892">
        <v>1</v>
      </c>
      <c r="E60" s="902">
        <v>1</v>
      </c>
      <c r="F60" s="912" t="s">
        <v>348</v>
      </c>
    </row>
    <row r="61" spans="2:6" x14ac:dyDescent="0.25">
      <c r="B61" s="1294" t="s">
        <v>140</v>
      </c>
      <c r="C61" s="1291" t="s">
        <v>358</v>
      </c>
      <c r="D61" s="1292"/>
      <c r="E61" s="1292"/>
      <c r="F61" s="1293"/>
    </row>
    <row r="62" spans="2:6" x14ac:dyDescent="0.25">
      <c r="B62" s="1295"/>
      <c r="C62" s="888" t="s">
        <v>631</v>
      </c>
      <c r="D62" s="892">
        <v>1</v>
      </c>
      <c r="E62" s="908" t="s">
        <v>236</v>
      </c>
      <c r="F62" s="913" t="s">
        <v>353</v>
      </c>
    </row>
    <row r="63" spans="2:6" x14ac:dyDescent="0.25">
      <c r="B63" s="1296"/>
      <c r="C63" s="888" t="s">
        <v>632</v>
      </c>
      <c r="D63" s="892">
        <v>1</v>
      </c>
      <c r="E63" s="908" t="s">
        <v>236</v>
      </c>
      <c r="F63" s="913" t="s">
        <v>353</v>
      </c>
    </row>
    <row r="64" spans="2:6" x14ac:dyDescent="0.25">
      <c r="B64" s="1294" t="s">
        <v>141</v>
      </c>
      <c r="C64" s="1291" t="s">
        <v>359</v>
      </c>
      <c r="D64" s="1292"/>
      <c r="E64" s="1292"/>
      <c r="F64" s="1293"/>
    </row>
    <row r="65" spans="2:6" x14ac:dyDescent="0.25">
      <c r="B65" s="1295"/>
      <c r="C65" s="888" t="s">
        <v>633</v>
      </c>
      <c r="D65" s="892">
        <v>1</v>
      </c>
      <c r="E65" s="902">
        <v>1</v>
      </c>
      <c r="F65" s="903" t="s">
        <v>348</v>
      </c>
    </row>
    <row r="66" spans="2:6" x14ac:dyDescent="0.25">
      <c r="B66" s="1296"/>
      <c r="C66" s="888" t="s">
        <v>634</v>
      </c>
      <c r="D66" s="892">
        <v>1</v>
      </c>
      <c r="E66" s="902">
        <v>1</v>
      </c>
      <c r="F66" s="903" t="s">
        <v>348</v>
      </c>
    </row>
    <row r="67" spans="2:6" x14ac:dyDescent="0.25">
      <c r="B67" s="1294" t="s">
        <v>142</v>
      </c>
      <c r="C67" s="1291" t="s">
        <v>360</v>
      </c>
      <c r="D67" s="1292"/>
      <c r="E67" s="1292"/>
      <c r="F67" s="1293"/>
    </row>
    <row r="68" spans="2:6" x14ac:dyDescent="0.25">
      <c r="B68" s="1295"/>
      <c r="C68" s="888" t="s">
        <v>635</v>
      </c>
      <c r="D68" s="892">
        <v>1</v>
      </c>
      <c r="E68" s="902" t="s">
        <v>236</v>
      </c>
      <c r="F68" s="903" t="s">
        <v>353</v>
      </c>
    </row>
    <row r="69" spans="2:6" x14ac:dyDescent="0.25">
      <c r="B69" s="1296"/>
      <c r="C69" s="888" t="s">
        <v>636</v>
      </c>
      <c r="D69" s="892">
        <v>4</v>
      </c>
      <c r="E69" s="902" t="s">
        <v>236</v>
      </c>
      <c r="F69" s="903" t="s">
        <v>353</v>
      </c>
    </row>
    <row r="70" spans="2:6" x14ac:dyDescent="0.25">
      <c r="B70" s="890" t="s">
        <v>143</v>
      </c>
      <c r="C70" s="895" t="s">
        <v>361</v>
      </c>
      <c r="D70" s="892">
        <v>2</v>
      </c>
      <c r="E70" s="902">
        <v>2</v>
      </c>
      <c r="F70" s="903" t="s">
        <v>348</v>
      </c>
    </row>
    <row r="71" spans="2:6" x14ac:dyDescent="0.25">
      <c r="B71" s="886"/>
      <c r="C71" s="884"/>
      <c r="D71" s="893"/>
      <c r="E71" s="885"/>
      <c r="F71" s="905"/>
    </row>
    <row r="72" spans="2:6" x14ac:dyDescent="0.25">
      <c r="B72" s="885" t="s">
        <v>362</v>
      </c>
      <c r="C72" s="884"/>
      <c r="D72" s="893"/>
      <c r="E72" s="885"/>
      <c r="F72" s="905"/>
    </row>
    <row r="73" spans="2:6" x14ac:dyDescent="0.25">
      <c r="B73" s="1294" t="s">
        <v>148</v>
      </c>
      <c r="C73" s="1291" t="s">
        <v>845</v>
      </c>
      <c r="D73" s="1292"/>
      <c r="E73" s="1292"/>
      <c r="F73" s="1292"/>
    </row>
    <row r="74" spans="2:6" x14ac:dyDescent="0.25">
      <c r="B74" s="1295"/>
      <c r="C74" s="888" t="s">
        <v>638</v>
      </c>
      <c r="D74" s="892">
        <v>2</v>
      </c>
      <c r="E74" s="902">
        <v>2</v>
      </c>
      <c r="F74" s="911" t="s">
        <v>348</v>
      </c>
    </row>
    <row r="75" spans="2:6" x14ac:dyDescent="0.25">
      <c r="B75" s="1296"/>
      <c r="C75" s="888" t="s">
        <v>639</v>
      </c>
      <c r="D75" s="892">
        <v>1</v>
      </c>
      <c r="E75" s="914">
        <v>1</v>
      </c>
      <c r="F75" s="915" t="s">
        <v>348</v>
      </c>
    </row>
    <row r="76" spans="2:6" x14ac:dyDescent="0.25">
      <c r="B76" s="890" t="s">
        <v>149</v>
      </c>
      <c r="C76" s="895" t="s">
        <v>846</v>
      </c>
      <c r="D76" s="892">
        <v>10</v>
      </c>
      <c r="E76" s="914">
        <v>10</v>
      </c>
      <c r="F76" s="915" t="s">
        <v>348</v>
      </c>
    </row>
    <row r="77" spans="2:6" x14ac:dyDescent="0.25">
      <c r="B77" s="886"/>
      <c r="C77" s="884"/>
      <c r="D77" s="893"/>
      <c r="E77" s="885"/>
      <c r="F77" s="905"/>
    </row>
    <row r="78" spans="2:6" x14ac:dyDescent="0.25">
      <c r="B78" s="885" t="s">
        <v>365</v>
      </c>
      <c r="C78" s="884"/>
      <c r="D78" s="893"/>
      <c r="E78" s="885"/>
      <c r="F78" s="905"/>
    </row>
    <row r="79" spans="2:6" x14ac:dyDescent="0.25">
      <c r="B79" s="890" t="s">
        <v>170</v>
      </c>
      <c r="C79" s="895" t="s">
        <v>366</v>
      </c>
      <c r="D79" s="892">
        <v>5</v>
      </c>
      <c r="E79" s="914">
        <v>1</v>
      </c>
      <c r="F79" s="915" t="s">
        <v>348</v>
      </c>
    </row>
    <row r="80" spans="2:6" x14ac:dyDescent="0.25">
      <c r="B80" s="890" t="s">
        <v>171</v>
      </c>
      <c r="C80" s="895" t="s">
        <v>367</v>
      </c>
      <c r="D80" s="892">
        <v>1</v>
      </c>
      <c r="E80" s="914">
        <v>1</v>
      </c>
      <c r="F80" s="915" t="s">
        <v>348</v>
      </c>
    </row>
    <row r="81" spans="2:6" x14ac:dyDescent="0.25">
      <c r="B81" s="890" t="s">
        <v>172</v>
      </c>
      <c r="C81" s="1291" t="s">
        <v>368</v>
      </c>
      <c r="D81" s="1292"/>
      <c r="E81" s="1292"/>
      <c r="F81" s="1292"/>
    </row>
    <row r="82" spans="2:6" x14ac:dyDescent="0.25">
      <c r="B82" s="890"/>
      <c r="C82" s="888" t="s">
        <v>644</v>
      </c>
      <c r="D82" s="892">
        <v>1</v>
      </c>
      <c r="E82" s="914">
        <v>1</v>
      </c>
      <c r="F82" s="915" t="s">
        <v>348</v>
      </c>
    </row>
    <row r="83" spans="2:6" x14ac:dyDescent="0.25">
      <c r="B83" s="890"/>
      <c r="C83" s="888" t="s">
        <v>645</v>
      </c>
      <c r="D83" s="892">
        <v>1</v>
      </c>
      <c r="E83" s="914">
        <v>1</v>
      </c>
      <c r="F83" s="915" t="s">
        <v>348</v>
      </c>
    </row>
    <row r="84" spans="2:6" x14ac:dyDescent="0.25">
      <c r="B84" s="890"/>
      <c r="C84" s="888" t="s">
        <v>646</v>
      </c>
      <c r="D84" s="892" t="s">
        <v>236</v>
      </c>
      <c r="E84" s="914" t="s">
        <v>236</v>
      </c>
      <c r="F84" s="915" t="s">
        <v>353</v>
      </c>
    </row>
    <row r="85" spans="2:6" x14ac:dyDescent="0.25">
      <c r="B85" s="890" t="s">
        <v>173</v>
      </c>
      <c r="C85" s="895" t="s">
        <v>369</v>
      </c>
      <c r="D85" s="892">
        <v>1</v>
      </c>
      <c r="E85" s="914">
        <v>1</v>
      </c>
      <c r="F85" s="915" t="s">
        <v>348</v>
      </c>
    </row>
    <row r="86" spans="2:6" x14ac:dyDescent="0.25">
      <c r="B86" s="886"/>
      <c r="C86" s="884"/>
      <c r="D86" s="893"/>
      <c r="E86" s="885"/>
      <c r="F86" s="905"/>
    </row>
    <row r="87" spans="2:6" x14ac:dyDescent="0.25">
      <c r="B87" s="885" t="s">
        <v>370</v>
      </c>
      <c r="C87" s="884"/>
      <c r="D87" s="893"/>
      <c r="E87" s="885"/>
      <c r="F87" s="905"/>
    </row>
    <row r="88" spans="2:6" x14ac:dyDescent="0.25">
      <c r="B88" s="890" t="s">
        <v>174</v>
      </c>
      <c r="C88" s="1291" t="s">
        <v>847</v>
      </c>
      <c r="D88" s="1292"/>
      <c r="E88" s="1292"/>
      <c r="F88" s="1293"/>
    </row>
    <row r="89" spans="2:6" x14ac:dyDescent="0.25">
      <c r="B89" s="890"/>
      <c r="C89" s="888" t="s">
        <v>648</v>
      </c>
      <c r="D89" s="892">
        <v>3</v>
      </c>
      <c r="E89" s="902">
        <v>3</v>
      </c>
      <c r="F89" s="903" t="s">
        <v>348</v>
      </c>
    </row>
    <row r="90" spans="2:6" x14ac:dyDescent="0.25">
      <c r="B90" s="890"/>
      <c r="C90" s="888" t="s">
        <v>649</v>
      </c>
      <c r="D90" s="892">
        <v>2</v>
      </c>
      <c r="E90" s="902">
        <v>2</v>
      </c>
      <c r="F90" s="903" t="s">
        <v>348</v>
      </c>
    </row>
    <row r="91" spans="2:6" x14ac:dyDescent="0.25">
      <c r="B91" s="890" t="s">
        <v>479</v>
      </c>
      <c r="C91" s="1291" t="s">
        <v>848</v>
      </c>
      <c r="D91" s="1292"/>
      <c r="E91" s="1292"/>
      <c r="F91" s="1293"/>
    </row>
    <row r="92" spans="2:6" x14ac:dyDescent="0.25">
      <c r="B92" s="890"/>
      <c r="C92" s="888" t="s">
        <v>651</v>
      </c>
      <c r="D92" s="892">
        <v>1</v>
      </c>
      <c r="E92" s="902">
        <v>1</v>
      </c>
      <c r="F92" s="903" t="s">
        <v>348</v>
      </c>
    </row>
    <row r="93" spans="2:6" x14ac:dyDescent="0.25">
      <c r="B93" s="890"/>
      <c r="C93" s="888" t="s">
        <v>652</v>
      </c>
      <c r="D93" s="892">
        <v>2</v>
      </c>
      <c r="E93" s="902">
        <v>1</v>
      </c>
      <c r="F93" s="903" t="s">
        <v>348</v>
      </c>
    </row>
    <row r="94" spans="2:6" x14ac:dyDescent="0.25">
      <c r="B94" s="890" t="s">
        <v>175</v>
      </c>
      <c r="C94" s="1291" t="s">
        <v>849</v>
      </c>
      <c r="D94" s="1292"/>
      <c r="E94" s="1292"/>
      <c r="F94" s="1293"/>
    </row>
    <row r="95" spans="2:6" x14ac:dyDescent="0.25">
      <c r="B95" s="890"/>
      <c r="C95" s="888" t="s">
        <v>654</v>
      </c>
      <c r="D95" s="892">
        <v>1</v>
      </c>
      <c r="E95" s="902">
        <v>1</v>
      </c>
      <c r="F95" s="903" t="s">
        <v>348</v>
      </c>
    </row>
    <row r="96" spans="2:6" x14ac:dyDescent="0.25">
      <c r="B96" s="890"/>
      <c r="C96" s="888" t="s">
        <v>655</v>
      </c>
      <c r="D96" s="892">
        <v>2</v>
      </c>
      <c r="E96" s="902">
        <v>1</v>
      </c>
      <c r="F96" s="903" t="s">
        <v>348</v>
      </c>
    </row>
    <row r="97" spans="2:6" x14ac:dyDescent="0.25">
      <c r="B97" s="890" t="s">
        <v>176</v>
      </c>
      <c r="C97" s="1291" t="s">
        <v>371</v>
      </c>
      <c r="D97" s="1292"/>
      <c r="E97" s="1292"/>
      <c r="F97" s="1293"/>
    </row>
    <row r="98" spans="2:6" x14ac:dyDescent="0.25">
      <c r="B98" s="894"/>
      <c r="C98" s="888" t="s">
        <v>657</v>
      </c>
      <c r="D98" s="892">
        <v>1</v>
      </c>
      <c r="E98" s="902">
        <v>1</v>
      </c>
      <c r="F98" s="903" t="s">
        <v>348</v>
      </c>
    </row>
    <row r="99" spans="2:6" x14ac:dyDescent="0.25">
      <c r="B99" s="894"/>
      <c r="C99" s="888" t="s">
        <v>658</v>
      </c>
      <c r="D99" s="892">
        <v>1</v>
      </c>
      <c r="E99" s="902" t="s">
        <v>236</v>
      </c>
      <c r="F99" s="903" t="s">
        <v>353</v>
      </c>
    </row>
    <row r="100" spans="2:6" x14ac:dyDescent="0.25">
      <c r="B100" s="894"/>
      <c r="C100" s="888" t="s">
        <v>659</v>
      </c>
      <c r="D100" s="892">
        <v>2</v>
      </c>
      <c r="E100" s="902">
        <v>2</v>
      </c>
      <c r="F100" s="903" t="s">
        <v>348</v>
      </c>
    </row>
    <row r="101" spans="2:6" x14ac:dyDescent="0.25">
      <c r="B101" s="890" t="s">
        <v>177</v>
      </c>
      <c r="C101" s="1291" t="s">
        <v>661</v>
      </c>
      <c r="D101" s="1292"/>
      <c r="E101" s="1292"/>
      <c r="F101" s="1293"/>
    </row>
    <row r="102" spans="2:6" x14ac:dyDescent="0.25">
      <c r="B102" s="894"/>
      <c r="C102" s="888" t="s">
        <v>660</v>
      </c>
      <c r="D102" s="892">
        <v>1</v>
      </c>
      <c r="E102" s="902">
        <v>1</v>
      </c>
      <c r="F102" s="903" t="s">
        <v>348</v>
      </c>
    </row>
    <row r="103" spans="2:6" x14ac:dyDescent="0.25">
      <c r="B103" s="894"/>
      <c r="C103" s="888" t="s">
        <v>661</v>
      </c>
      <c r="D103" s="892">
        <v>1</v>
      </c>
      <c r="E103" s="902">
        <v>1</v>
      </c>
      <c r="F103" s="903" t="s">
        <v>348</v>
      </c>
    </row>
    <row r="104" spans="2:6" x14ac:dyDescent="0.25">
      <c r="B104" s="894"/>
      <c r="C104" s="888" t="s">
        <v>662</v>
      </c>
      <c r="D104" s="892">
        <v>2</v>
      </c>
      <c r="E104" s="902">
        <v>2</v>
      </c>
      <c r="F104" s="903" t="s">
        <v>348</v>
      </c>
    </row>
    <row r="105" spans="2:6" x14ac:dyDescent="0.25">
      <c r="B105" s="890" t="s">
        <v>480</v>
      </c>
      <c r="C105" s="1291" t="s">
        <v>850</v>
      </c>
      <c r="D105" s="1292"/>
      <c r="E105" s="1292"/>
      <c r="F105" s="1293"/>
    </row>
    <row r="106" spans="2:6" x14ac:dyDescent="0.25">
      <c r="B106" s="894"/>
      <c r="C106" s="888" t="s">
        <v>663</v>
      </c>
      <c r="D106" s="892">
        <v>1</v>
      </c>
      <c r="E106" s="902">
        <v>1</v>
      </c>
      <c r="F106" s="903" t="s">
        <v>348</v>
      </c>
    </row>
    <row r="107" spans="2:6" x14ac:dyDescent="0.25">
      <c r="B107" s="894"/>
      <c r="C107" s="888" t="s">
        <v>664</v>
      </c>
      <c r="D107" s="892">
        <v>1</v>
      </c>
      <c r="E107" s="902">
        <v>1</v>
      </c>
      <c r="F107" s="903" t="s">
        <v>348</v>
      </c>
    </row>
    <row r="108" spans="2:6" x14ac:dyDescent="0.25">
      <c r="B108" s="894"/>
      <c r="C108" s="888" t="s">
        <v>851</v>
      </c>
      <c r="D108" s="892">
        <v>2</v>
      </c>
      <c r="E108" s="902">
        <v>2</v>
      </c>
      <c r="F108" s="903" t="s">
        <v>348</v>
      </c>
    </row>
    <row r="109" spans="2:6" x14ac:dyDescent="0.25">
      <c r="B109" s="885" t="s">
        <v>372</v>
      </c>
      <c r="C109" s="884"/>
      <c r="D109" s="893"/>
      <c r="E109" s="885"/>
      <c r="F109" s="905"/>
    </row>
    <row r="110" spans="2:6" x14ac:dyDescent="0.25">
      <c r="B110" s="898" t="s">
        <v>178</v>
      </c>
      <c r="C110" s="1316" t="s">
        <v>373</v>
      </c>
      <c r="D110" s="1314"/>
      <c r="E110" s="1314"/>
      <c r="F110" s="1315"/>
    </row>
    <row r="111" spans="2:6" x14ac:dyDescent="0.25">
      <c r="B111" s="890"/>
      <c r="C111" s="888" t="s">
        <v>666</v>
      </c>
      <c r="D111" s="892">
        <v>1</v>
      </c>
      <c r="E111" s="902">
        <v>1</v>
      </c>
      <c r="F111" s="903" t="s">
        <v>348</v>
      </c>
    </row>
    <row r="112" spans="2:6" x14ac:dyDescent="0.25">
      <c r="B112" s="890"/>
      <c r="C112" s="888" t="s">
        <v>667</v>
      </c>
      <c r="D112" s="892">
        <v>2</v>
      </c>
      <c r="E112" s="902">
        <v>2</v>
      </c>
      <c r="F112" s="903" t="s">
        <v>348</v>
      </c>
    </row>
    <row r="113" spans="2:6" x14ac:dyDescent="0.25">
      <c r="B113" s="890"/>
      <c r="C113" s="888" t="s">
        <v>668</v>
      </c>
      <c r="D113" s="892">
        <v>2</v>
      </c>
      <c r="E113" s="902">
        <v>2</v>
      </c>
      <c r="F113" s="903" t="s">
        <v>348</v>
      </c>
    </row>
    <row r="114" spans="2:6" x14ac:dyDescent="0.25">
      <c r="B114" s="898" t="s">
        <v>374</v>
      </c>
      <c r="C114" s="895" t="s">
        <v>375</v>
      </c>
      <c r="D114" s="892">
        <v>1</v>
      </c>
      <c r="E114" s="902">
        <v>1</v>
      </c>
      <c r="F114" s="903" t="s">
        <v>348</v>
      </c>
    </row>
    <row r="115" spans="2:6" x14ac:dyDescent="0.25">
      <c r="B115" s="898" t="s">
        <v>376</v>
      </c>
      <c r="C115" s="895" t="s">
        <v>375</v>
      </c>
      <c r="D115" s="892" t="s">
        <v>236</v>
      </c>
      <c r="E115" s="902" t="s">
        <v>236</v>
      </c>
      <c r="F115" s="903" t="s">
        <v>353</v>
      </c>
    </row>
    <row r="116" spans="2:6" x14ac:dyDescent="0.25">
      <c r="B116" s="898" t="s">
        <v>180</v>
      </c>
      <c r="C116" s="895" t="s">
        <v>377</v>
      </c>
      <c r="D116" s="892">
        <v>1</v>
      </c>
      <c r="E116" s="902">
        <v>1</v>
      </c>
      <c r="F116" s="903" t="s">
        <v>353</v>
      </c>
    </row>
    <row r="117" spans="2:6" x14ac:dyDescent="0.25">
      <c r="B117" s="886"/>
      <c r="C117" s="884"/>
      <c r="D117" s="893"/>
      <c r="E117" s="885"/>
      <c r="F117" s="905"/>
    </row>
    <row r="118" spans="2:6" x14ac:dyDescent="0.25">
      <c r="B118" s="885" t="s">
        <v>378</v>
      </c>
      <c r="C118" s="884"/>
      <c r="D118" s="893"/>
      <c r="E118" s="885"/>
      <c r="F118" s="905"/>
    </row>
    <row r="119" spans="2:6" x14ac:dyDescent="0.25">
      <c r="B119" s="898" t="s">
        <v>181</v>
      </c>
      <c r="C119" s="895" t="s">
        <v>379</v>
      </c>
      <c r="D119" s="892" t="s">
        <v>236</v>
      </c>
      <c r="E119" s="902" t="s">
        <v>236</v>
      </c>
      <c r="F119" s="903" t="s">
        <v>353</v>
      </c>
    </row>
    <row r="120" spans="2:6" x14ac:dyDescent="0.25">
      <c r="B120" s="898" t="s">
        <v>182</v>
      </c>
      <c r="C120" s="1291" t="s">
        <v>852</v>
      </c>
      <c r="D120" s="1292"/>
      <c r="E120" s="1292"/>
      <c r="F120" s="1293"/>
    </row>
    <row r="121" spans="2:6" x14ac:dyDescent="0.25">
      <c r="B121" s="890"/>
      <c r="C121" s="888" t="s">
        <v>674</v>
      </c>
      <c r="D121" s="892">
        <v>1</v>
      </c>
      <c r="E121" s="902">
        <v>1</v>
      </c>
      <c r="F121" s="903" t="s">
        <v>348</v>
      </c>
    </row>
    <row r="122" spans="2:6" x14ac:dyDescent="0.25">
      <c r="B122" s="890"/>
      <c r="C122" s="888" t="s">
        <v>675</v>
      </c>
      <c r="D122" s="892">
        <v>1</v>
      </c>
      <c r="E122" s="902">
        <v>1</v>
      </c>
      <c r="F122" s="903" t="s">
        <v>348</v>
      </c>
    </row>
    <row r="123" spans="2:6" x14ac:dyDescent="0.25">
      <c r="B123" s="898" t="s">
        <v>853</v>
      </c>
      <c r="C123" s="1316" t="s">
        <v>854</v>
      </c>
      <c r="D123" s="1314"/>
      <c r="E123" s="1314"/>
      <c r="F123" s="1315"/>
    </row>
    <row r="124" spans="2:6" x14ac:dyDescent="0.25">
      <c r="B124" s="890"/>
      <c r="C124" s="888" t="s">
        <v>677</v>
      </c>
      <c r="D124" s="892">
        <v>1</v>
      </c>
      <c r="E124" s="902">
        <v>1</v>
      </c>
      <c r="F124" s="903" t="s">
        <v>348</v>
      </c>
    </row>
    <row r="125" spans="2:6" x14ac:dyDescent="0.25">
      <c r="B125" s="890"/>
      <c r="C125" s="888" t="s">
        <v>678</v>
      </c>
      <c r="D125" s="892">
        <v>2</v>
      </c>
      <c r="E125" s="902">
        <v>1</v>
      </c>
      <c r="F125" s="903" t="s">
        <v>348</v>
      </c>
    </row>
    <row r="126" spans="2:6" x14ac:dyDescent="0.25">
      <c r="B126" s="898" t="s">
        <v>183</v>
      </c>
      <c r="C126" s="1291" t="s">
        <v>855</v>
      </c>
      <c r="D126" s="1292"/>
      <c r="E126" s="1292"/>
      <c r="F126" s="1293"/>
    </row>
    <row r="127" spans="2:6" x14ac:dyDescent="0.25">
      <c r="B127" s="890"/>
      <c r="C127" s="888" t="s">
        <v>680</v>
      </c>
      <c r="D127" s="892">
        <v>1</v>
      </c>
      <c r="E127" s="902">
        <v>1</v>
      </c>
      <c r="F127" s="903" t="s">
        <v>348</v>
      </c>
    </row>
    <row r="128" spans="2:6" x14ac:dyDescent="0.25">
      <c r="B128" s="890"/>
      <c r="C128" s="888" t="s">
        <v>681</v>
      </c>
      <c r="D128" s="892">
        <v>3</v>
      </c>
      <c r="E128" s="902">
        <v>3</v>
      </c>
      <c r="F128" s="903" t="s">
        <v>348</v>
      </c>
    </row>
    <row r="129" spans="2:6" x14ac:dyDescent="0.25">
      <c r="B129" s="898" t="s">
        <v>184</v>
      </c>
      <c r="C129" s="1291" t="s">
        <v>380</v>
      </c>
      <c r="D129" s="1292"/>
      <c r="E129" s="1292"/>
      <c r="F129" s="1293"/>
    </row>
    <row r="130" spans="2:6" x14ac:dyDescent="0.25">
      <c r="B130" s="890"/>
      <c r="C130" s="888" t="s">
        <v>683</v>
      </c>
      <c r="D130" s="892">
        <v>1</v>
      </c>
      <c r="E130" s="902">
        <v>1</v>
      </c>
      <c r="F130" s="903" t="s">
        <v>348</v>
      </c>
    </row>
    <row r="131" spans="2:6" x14ac:dyDescent="0.25">
      <c r="B131" s="890"/>
      <c r="C131" s="888" t="s">
        <v>684</v>
      </c>
      <c r="D131" s="892">
        <v>1</v>
      </c>
      <c r="E131" s="902">
        <v>1</v>
      </c>
      <c r="F131" s="903" t="s">
        <v>348</v>
      </c>
    </row>
    <row r="132" spans="2:6" x14ac:dyDescent="0.25">
      <c r="B132" s="898" t="s">
        <v>185</v>
      </c>
      <c r="C132" s="895" t="s">
        <v>856</v>
      </c>
      <c r="D132" s="892">
        <v>1</v>
      </c>
      <c r="E132" s="902" t="s">
        <v>236</v>
      </c>
      <c r="F132" s="903" t="s">
        <v>353</v>
      </c>
    </row>
    <row r="133" spans="2:6" x14ac:dyDescent="0.25">
      <c r="B133" s="899" t="s">
        <v>857</v>
      </c>
      <c r="C133" s="900" t="s">
        <v>858</v>
      </c>
      <c r="D133" s="892">
        <v>2</v>
      </c>
      <c r="E133" s="902">
        <v>2</v>
      </c>
      <c r="F133" s="903" t="s">
        <v>348</v>
      </c>
    </row>
    <row r="134" spans="2:6" x14ac:dyDescent="0.25">
      <c r="B134" s="899" t="s">
        <v>859</v>
      </c>
      <c r="C134" s="1314" t="s">
        <v>860</v>
      </c>
      <c r="D134" s="1314"/>
      <c r="E134" s="1314"/>
      <c r="F134" s="1315"/>
    </row>
    <row r="135" spans="2:6" x14ac:dyDescent="0.25">
      <c r="B135" s="894"/>
      <c r="C135" s="888" t="s">
        <v>689</v>
      </c>
      <c r="D135" s="892">
        <v>1</v>
      </c>
      <c r="E135" s="902">
        <v>1</v>
      </c>
      <c r="F135" s="903" t="s">
        <v>348</v>
      </c>
    </row>
    <row r="136" spans="2:6" x14ac:dyDescent="0.25">
      <c r="B136" s="894"/>
      <c r="C136" s="888" t="s">
        <v>690</v>
      </c>
      <c r="D136" s="892">
        <v>1</v>
      </c>
      <c r="E136" s="902">
        <v>1</v>
      </c>
      <c r="F136" s="903" t="s">
        <v>348</v>
      </c>
    </row>
    <row r="137" spans="2:6" x14ac:dyDescent="0.25">
      <c r="B137" s="894"/>
      <c r="C137" s="896"/>
      <c r="D137" s="897"/>
      <c r="E137" s="916"/>
      <c r="F137" s="905"/>
    </row>
    <row r="138" spans="2:6" x14ac:dyDescent="0.25">
      <c r="B138" s="885" t="s">
        <v>381</v>
      </c>
      <c r="C138" s="884"/>
      <c r="D138" s="893"/>
      <c r="E138" s="885"/>
      <c r="F138" s="905"/>
    </row>
    <row r="139" spans="2:6" x14ac:dyDescent="0.25">
      <c r="B139" s="898" t="s">
        <v>382</v>
      </c>
      <c r="C139" s="895" t="s">
        <v>383</v>
      </c>
      <c r="D139" s="892">
        <v>3</v>
      </c>
      <c r="E139" s="902">
        <v>3</v>
      </c>
      <c r="F139" s="903" t="s">
        <v>348</v>
      </c>
    </row>
    <row r="140" spans="2:6" x14ac:dyDescent="0.25">
      <c r="B140" s="898" t="s">
        <v>384</v>
      </c>
      <c r="C140" s="895" t="s">
        <v>861</v>
      </c>
      <c r="D140" s="892">
        <v>2</v>
      </c>
      <c r="E140" s="902">
        <v>2</v>
      </c>
      <c r="F140" s="903" t="s">
        <v>348</v>
      </c>
    </row>
    <row r="141" spans="2:6" x14ac:dyDescent="0.25">
      <c r="B141" s="898" t="s">
        <v>386</v>
      </c>
      <c r="C141" s="895" t="s">
        <v>387</v>
      </c>
      <c r="D141" s="892">
        <v>1</v>
      </c>
      <c r="E141" s="902">
        <v>1</v>
      </c>
      <c r="F141" s="903" t="s">
        <v>348</v>
      </c>
    </row>
    <row r="142" spans="2:6" x14ac:dyDescent="0.25">
      <c r="B142" s="898" t="s">
        <v>388</v>
      </c>
      <c r="C142" s="895" t="s">
        <v>389</v>
      </c>
      <c r="D142" s="892">
        <v>1</v>
      </c>
      <c r="E142" s="902">
        <v>1</v>
      </c>
      <c r="F142" s="903" t="s">
        <v>348</v>
      </c>
    </row>
    <row r="143" spans="2:6" x14ac:dyDescent="0.25">
      <c r="B143" s="886"/>
      <c r="C143" s="884"/>
      <c r="D143" s="893"/>
      <c r="E143" s="885"/>
      <c r="F143" s="905"/>
    </row>
    <row r="144" spans="2:6" x14ac:dyDescent="0.25">
      <c r="B144" s="885" t="s">
        <v>390</v>
      </c>
      <c r="C144" s="884"/>
      <c r="D144" s="893"/>
      <c r="E144" s="885"/>
      <c r="F144" s="905"/>
    </row>
    <row r="145" spans="2:6" x14ac:dyDescent="0.25">
      <c r="B145" s="890" t="s">
        <v>549</v>
      </c>
      <c r="C145" s="888" t="s">
        <v>862</v>
      </c>
      <c r="D145" s="892">
        <v>1</v>
      </c>
      <c r="E145" s="902">
        <v>1</v>
      </c>
      <c r="F145" s="903" t="s">
        <v>348</v>
      </c>
    </row>
    <row r="146" spans="2:6" x14ac:dyDescent="0.25">
      <c r="B146" s="890" t="s">
        <v>863</v>
      </c>
      <c r="C146" s="888" t="s">
        <v>864</v>
      </c>
      <c r="D146" s="892">
        <v>1</v>
      </c>
      <c r="E146" s="902">
        <v>1</v>
      </c>
      <c r="F146" s="903" t="s">
        <v>348</v>
      </c>
    </row>
    <row r="147" spans="2:6" x14ac:dyDescent="0.25">
      <c r="B147" s="890" t="s">
        <v>863</v>
      </c>
      <c r="C147" s="888" t="s">
        <v>865</v>
      </c>
      <c r="D147" s="892">
        <v>1</v>
      </c>
      <c r="E147" s="902">
        <v>1</v>
      </c>
      <c r="F147" s="903" t="s">
        <v>348</v>
      </c>
    </row>
    <row r="148" spans="2:6" x14ac:dyDescent="0.25">
      <c r="B148" s="890" t="s">
        <v>543</v>
      </c>
      <c r="C148" s="888" t="s">
        <v>866</v>
      </c>
      <c r="D148" s="892">
        <v>1</v>
      </c>
      <c r="E148" s="902">
        <v>1</v>
      </c>
      <c r="F148" s="903" t="s">
        <v>353</v>
      </c>
    </row>
    <row r="149" spans="2:6" x14ac:dyDescent="0.25">
      <c r="B149" s="890" t="s">
        <v>574</v>
      </c>
      <c r="C149" s="888" t="s">
        <v>867</v>
      </c>
      <c r="D149" s="892">
        <v>1</v>
      </c>
      <c r="E149" s="902">
        <v>1</v>
      </c>
      <c r="F149" s="903" t="s">
        <v>348</v>
      </c>
    </row>
    <row r="150" spans="2:6" x14ac:dyDescent="0.25">
      <c r="B150" s="890" t="s">
        <v>574</v>
      </c>
      <c r="C150" s="888" t="s">
        <v>868</v>
      </c>
      <c r="D150" s="892">
        <v>1</v>
      </c>
      <c r="E150" s="902">
        <v>1</v>
      </c>
      <c r="F150" s="903" t="s">
        <v>348</v>
      </c>
    </row>
    <row r="151" spans="2:6" x14ac:dyDescent="0.25">
      <c r="B151" s="890" t="s">
        <v>869</v>
      </c>
      <c r="C151" s="888" t="s">
        <v>870</v>
      </c>
      <c r="D151" s="892">
        <v>1</v>
      </c>
      <c r="E151" s="902">
        <v>1</v>
      </c>
      <c r="F151" s="903" t="s">
        <v>348</v>
      </c>
    </row>
    <row r="152" spans="2:6" x14ac:dyDescent="0.25">
      <c r="B152" s="890" t="s">
        <v>4</v>
      </c>
      <c r="C152" s="888" t="s">
        <v>871</v>
      </c>
      <c r="D152" s="892">
        <v>1</v>
      </c>
      <c r="E152" s="902">
        <v>1</v>
      </c>
      <c r="F152" s="903" t="s">
        <v>348</v>
      </c>
    </row>
    <row r="153" spans="2:6" x14ac:dyDescent="0.25">
      <c r="B153" s="890" t="s">
        <v>552</v>
      </c>
      <c r="C153" s="888" t="s">
        <v>872</v>
      </c>
      <c r="D153" s="892">
        <v>1</v>
      </c>
      <c r="E153" s="902">
        <v>1</v>
      </c>
      <c r="F153" s="903" t="s">
        <v>348</v>
      </c>
    </row>
    <row r="154" spans="2:6" x14ac:dyDescent="0.25">
      <c r="B154" s="881" t="s">
        <v>554</v>
      </c>
      <c r="C154" s="888" t="s">
        <v>873</v>
      </c>
      <c r="D154" s="892">
        <v>1</v>
      </c>
      <c r="E154" s="902">
        <v>1</v>
      </c>
      <c r="F154" s="903" t="s">
        <v>348</v>
      </c>
    </row>
    <row r="155" spans="2:6" x14ac:dyDescent="0.25">
      <c r="B155" s="881" t="s">
        <v>874</v>
      </c>
      <c r="C155" s="888" t="s">
        <v>875</v>
      </c>
      <c r="D155" s="892">
        <v>1</v>
      </c>
      <c r="E155" s="902">
        <v>1</v>
      </c>
      <c r="F155" s="903" t="s">
        <v>348</v>
      </c>
    </row>
    <row r="156" spans="2:6" x14ac:dyDescent="0.25">
      <c r="B156" s="881" t="s">
        <v>876</v>
      </c>
      <c r="C156" s="888" t="s">
        <v>877</v>
      </c>
      <c r="D156" s="892">
        <v>1</v>
      </c>
      <c r="E156" s="902">
        <v>1</v>
      </c>
      <c r="F156" s="903" t="s">
        <v>348</v>
      </c>
    </row>
    <row r="157" spans="2:6" x14ac:dyDescent="0.25">
      <c r="B157" s="881" t="s">
        <v>878</v>
      </c>
      <c r="C157" s="888" t="s">
        <v>879</v>
      </c>
      <c r="D157" s="892">
        <v>1</v>
      </c>
      <c r="E157" s="902" t="s">
        <v>236</v>
      </c>
      <c r="F157" s="903" t="s">
        <v>353</v>
      </c>
    </row>
    <row r="158" spans="2:6" x14ac:dyDescent="0.25">
      <c r="B158" s="881" t="s">
        <v>859</v>
      </c>
      <c r="C158" s="888" t="s">
        <v>880</v>
      </c>
      <c r="D158" s="892">
        <v>1</v>
      </c>
      <c r="E158" s="902">
        <v>1</v>
      </c>
      <c r="F158" s="903" t="s">
        <v>348</v>
      </c>
    </row>
  </sheetData>
  <mergeCells count="48">
    <mergeCell ref="C129:F129"/>
    <mergeCell ref="C134:F134"/>
    <mergeCell ref="C105:F105"/>
    <mergeCell ref="C110:F110"/>
    <mergeCell ref="C123:F123"/>
    <mergeCell ref="C120:F120"/>
    <mergeCell ref="C126:F126"/>
    <mergeCell ref="B39:B42"/>
    <mergeCell ref="B44:B46"/>
    <mergeCell ref="B50:B55"/>
    <mergeCell ref="B56:B59"/>
    <mergeCell ref="B67:B69"/>
    <mergeCell ref="B35:B38"/>
    <mergeCell ref="B3:B5"/>
    <mergeCell ref="F3:F5"/>
    <mergeCell ref="D3:D5"/>
    <mergeCell ref="C3:C5"/>
    <mergeCell ref="B29:B34"/>
    <mergeCell ref="E3:E5"/>
    <mergeCell ref="B7:B11"/>
    <mergeCell ref="B12:B14"/>
    <mergeCell ref="B15:B19"/>
    <mergeCell ref="B20:B23"/>
    <mergeCell ref="B24:B27"/>
    <mergeCell ref="C15:F15"/>
    <mergeCell ref="C12:F12"/>
    <mergeCell ref="C7:F7"/>
    <mergeCell ref="C20:F20"/>
    <mergeCell ref="C24:F24"/>
    <mergeCell ref="C29:F29"/>
    <mergeCell ref="C35:F35"/>
    <mergeCell ref="C39:F39"/>
    <mergeCell ref="C44:F44"/>
    <mergeCell ref="C50:F50"/>
    <mergeCell ref="C56:F56"/>
    <mergeCell ref="B61:B63"/>
    <mergeCell ref="C61:F61"/>
    <mergeCell ref="C64:F64"/>
    <mergeCell ref="C67:F67"/>
    <mergeCell ref="B64:B66"/>
    <mergeCell ref="B73:B75"/>
    <mergeCell ref="C73:F73"/>
    <mergeCell ref="C81:F81"/>
    <mergeCell ref="C88:F88"/>
    <mergeCell ref="C91:F91"/>
    <mergeCell ref="C94:F94"/>
    <mergeCell ref="C97:F97"/>
    <mergeCell ref="C101:F10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302"/>
  <sheetViews>
    <sheetView zoomScale="90" zoomScaleNormal="90" workbookViewId="0">
      <selection activeCell="K9" sqref="K9"/>
    </sheetView>
  </sheetViews>
  <sheetFormatPr defaultColWidth="8.85546875" defaultRowHeight="15" x14ac:dyDescent="0.25"/>
  <cols>
    <col min="1" max="1" width="13.5703125" customWidth="1"/>
    <col min="2" max="2" width="7.28515625" style="367" customWidth="1"/>
    <col min="3" max="3" width="60.28515625" bestFit="1" customWidth="1"/>
    <col min="4" max="4" width="19.85546875" hidden="1" customWidth="1"/>
    <col min="5" max="5" width="27.140625" hidden="1" customWidth="1"/>
    <col min="6" max="6" width="22.5703125" style="30" hidden="1" customWidth="1"/>
    <col min="7" max="7" width="8.85546875" customWidth="1"/>
    <col min="8" max="8" width="11.140625" customWidth="1"/>
    <col min="9" max="16" width="8.85546875" customWidth="1"/>
    <col min="17" max="17" width="8.85546875" style="981" customWidth="1"/>
    <col min="18" max="18" width="8.85546875" customWidth="1"/>
    <col min="19" max="19" width="20.140625" customWidth="1"/>
    <col min="20" max="20" width="45.85546875" customWidth="1"/>
    <col min="21" max="21" width="46.28515625" customWidth="1"/>
    <col min="22" max="22" width="36.140625" customWidth="1"/>
    <col min="23" max="30" width="8.85546875" customWidth="1"/>
  </cols>
  <sheetData>
    <row r="1" spans="1:31" s="30" customFormat="1" ht="15.75" thickBot="1" x14ac:dyDescent="0.3">
      <c r="A1" s="30">
        <v>1</v>
      </c>
      <c r="B1" s="367">
        <v>2</v>
      </c>
      <c r="C1" s="30">
        <v>3</v>
      </c>
      <c r="D1" s="30">
        <v>4</v>
      </c>
      <c r="E1" s="30">
        <v>5</v>
      </c>
      <c r="F1" s="30">
        <v>6</v>
      </c>
      <c r="G1" s="30">
        <v>7</v>
      </c>
      <c r="H1" s="30">
        <v>8</v>
      </c>
      <c r="Q1" s="981"/>
    </row>
    <row r="2" spans="1:31" s="30" customFormat="1" ht="15.75" thickBot="1" x14ac:dyDescent="0.3">
      <c r="B2" s="367"/>
      <c r="C2" s="68" t="s">
        <v>253</v>
      </c>
      <c r="D2" s="68"/>
      <c r="E2" s="68"/>
      <c r="F2" s="68"/>
      <c r="G2" s="68"/>
      <c r="H2" s="363" t="s">
        <v>336</v>
      </c>
      <c r="I2" s="344" t="s">
        <v>13</v>
      </c>
      <c r="J2" s="30" t="s">
        <v>12</v>
      </c>
      <c r="Q2" s="981"/>
    </row>
    <row r="3" spans="1:31" s="30" customFormat="1" ht="15.75" thickBot="1" x14ac:dyDescent="0.3">
      <c r="B3" s="367"/>
      <c r="Q3" s="981"/>
      <c r="S3" s="30" t="s">
        <v>393</v>
      </c>
    </row>
    <row r="4" spans="1:31" s="30" customFormat="1" ht="15.75" thickBot="1" x14ac:dyDescent="0.3">
      <c r="B4" s="367"/>
      <c r="Q4" s="981"/>
      <c r="S4" s="359" t="s">
        <v>343</v>
      </c>
      <c r="T4" s="360" t="s">
        <v>344</v>
      </c>
      <c r="U4" s="360" t="s">
        <v>345</v>
      </c>
      <c r="V4" s="361"/>
      <c r="W4"/>
    </row>
    <row r="5" spans="1:31" ht="15.75" thickBot="1" x14ac:dyDescent="0.3">
      <c r="C5" s="58" t="s">
        <v>87</v>
      </c>
      <c r="D5" s="61" t="s">
        <v>249</v>
      </c>
      <c r="E5" s="66" t="s">
        <v>252</v>
      </c>
      <c r="F5" s="61" t="s">
        <v>215</v>
      </c>
      <c r="H5" s="362" t="s">
        <v>391</v>
      </c>
      <c r="N5" s="1318" t="s">
        <v>392</v>
      </c>
      <c r="O5" s="1318"/>
      <c r="S5" s="983" t="s">
        <v>347</v>
      </c>
      <c r="T5" s="983"/>
      <c r="U5" s="992"/>
      <c r="V5" s="983"/>
      <c r="W5" s="984"/>
      <c r="X5" s="1025"/>
      <c r="Y5" s="1025"/>
      <c r="Z5" s="1025"/>
      <c r="AA5" s="1025"/>
      <c r="AB5" s="1025"/>
      <c r="AC5" s="1025"/>
      <c r="AD5" s="1025"/>
    </row>
    <row r="6" spans="1:31" ht="15.75" thickBot="1" x14ac:dyDescent="0.3">
      <c r="B6" s="151"/>
      <c r="C6" s="152" t="s">
        <v>63</v>
      </c>
      <c r="D6" s="65"/>
      <c r="E6" s="65"/>
      <c r="F6" s="65"/>
      <c r="H6" s="152"/>
      <c r="N6" s="349" t="s">
        <v>347</v>
      </c>
      <c r="O6" t="b">
        <f>N6=S5</f>
        <v>1</v>
      </c>
      <c r="S6" s="1313" t="s">
        <v>93</v>
      </c>
      <c r="T6" s="1027" t="s">
        <v>834</v>
      </c>
      <c r="W6" s="1045"/>
      <c r="X6" s="1025"/>
      <c r="Y6" s="1025"/>
      <c r="Z6" s="1025"/>
      <c r="AA6" s="1025"/>
      <c r="AB6" s="1025"/>
      <c r="AC6" s="1025"/>
      <c r="AD6" s="1025"/>
    </row>
    <row r="7" spans="1:31" x14ac:dyDescent="0.25">
      <c r="A7" s="137" t="s">
        <v>93</v>
      </c>
      <c r="B7" s="832" t="s">
        <v>93</v>
      </c>
      <c r="C7" s="832" t="s">
        <v>307</v>
      </c>
      <c r="D7" s="52">
        <f>Poeng!T10</f>
        <v>5</v>
      </c>
      <c r="E7" s="51"/>
      <c r="F7" s="52">
        <f>Poeng!AB10</f>
        <v>5</v>
      </c>
      <c r="H7" s="919">
        <f>SUMIF($R$7:$R$182,A7,$U$7:$U$182)</f>
        <v>0</v>
      </c>
      <c r="I7" s="365" t="str">
        <f>IF(F7=H7,"OK","FEIL")</f>
        <v>FEIL</v>
      </c>
      <c r="N7" s="353" t="s">
        <v>93</v>
      </c>
      <c r="O7" s="348" t="b">
        <f>N7=S6</f>
        <v>1</v>
      </c>
      <c r="R7" s="981" t="s">
        <v>712</v>
      </c>
      <c r="S7" s="1313"/>
      <c r="T7" s="1109" t="s">
        <v>591</v>
      </c>
      <c r="U7" s="1048">
        <v>1</v>
      </c>
      <c r="V7" s="1058" t="s">
        <v>348</v>
      </c>
      <c r="W7" s="1045"/>
      <c r="X7" s="1025"/>
      <c r="Y7" s="1025"/>
      <c r="Z7" s="1025"/>
      <c r="AA7" s="1025"/>
      <c r="AB7" s="1025"/>
      <c r="AC7" s="1025"/>
      <c r="AD7" s="1025"/>
    </row>
    <row r="8" spans="1:31" x14ac:dyDescent="0.25">
      <c r="A8" s="96" t="s">
        <v>712</v>
      </c>
      <c r="B8" s="167" t="s">
        <v>694</v>
      </c>
      <c r="C8" s="1108" t="s">
        <v>591</v>
      </c>
      <c r="D8" s="50">
        <f>Poeng!T16</f>
        <v>3</v>
      </c>
      <c r="E8" s="49"/>
      <c r="F8" s="52">
        <f>Poeng!AB16</f>
        <v>3</v>
      </c>
      <c r="H8" s="165">
        <f t="shared" ref="H8:H36" si="0">SUMIF($R$7:$R$182,A8,$U$7:$U$182)</f>
        <v>1</v>
      </c>
      <c r="I8" s="365" t="str">
        <f t="shared" ref="I8:I36" si="1">IF(F8=H8,"OK","FEIL")</f>
        <v>FEIL</v>
      </c>
      <c r="N8" s="353" t="s">
        <v>94</v>
      </c>
      <c r="O8" s="348" t="b">
        <f t="shared" ref="O8:O72" si="2">N8=S8</f>
        <v>0</v>
      </c>
      <c r="R8" t="s">
        <v>713</v>
      </c>
      <c r="S8" s="1313"/>
      <c r="T8" s="1110" t="s">
        <v>590</v>
      </c>
      <c r="U8" s="1048">
        <v>1</v>
      </c>
      <c r="V8" s="1058" t="s">
        <v>348</v>
      </c>
      <c r="W8" s="1045"/>
      <c r="X8" s="1025"/>
      <c r="Y8" s="1025"/>
      <c r="Z8" s="1025"/>
      <c r="AA8" s="1025"/>
      <c r="AB8" s="1025"/>
      <c r="AC8" s="1025"/>
      <c r="AD8" s="1025"/>
      <c r="AE8">
        <v>1</v>
      </c>
    </row>
    <row r="9" spans="1:31" x14ac:dyDescent="0.25">
      <c r="A9" s="96" t="s">
        <v>713</v>
      </c>
      <c r="B9" s="167" t="s">
        <v>697</v>
      </c>
      <c r="C9" s="1108" t="s">
        <v>590</v>
      </c>
      <c r="D9" s="50">
        <f>Poeng!T19</f>
        <v>7</v>
      </c>
      <c r="E9" s="49"/>
      <c r="F9" s="52">
        <f>Poeng!AB19</f>
        <v>7</v>
      </c>
      <c r="H9" s="165">
        <f t="shared" si="0"/>
        <v>1</v>
      </c>
      <c r="I9" s="365" t="str">
        <f t="shared" si="1"/>
        <v>FEIL</v>
      </c>
      <c r="K9" s="348"/>
      <c r="N9" s="353" t="s">
        <v>95</v>
      </c>
      <c r="O9" s="348" t="b">
        <f t="shared" si="2"/>
        <v>0</v>
      </c>
      <c r="R9" s="981" t="s">
        <v>714</v>
      </c>
      <c r="S9" s="1313"/>
      <c r="T9" s="1110" t="s">
        <v>587</v>
      </c>
      <c r="U9" s="1048">
        <v>1</v>
      </c>
      <c r="V9" s="1058" t="s">
        <v>348</v>
      </c>
      <c r="W9" s="1045"/>
      <c r="X9" s="1025"/>
      <c r="Y9" s="1025"/>
      <c r="Z9" s="1025"/>
      <c r="AA9" s="1025"/>
      <c r="AB9" s="1025"/>
      <c r="AC9" s="1025"/>
      <c r="AD9" s="1025"/>
      <c r="AE9">
        <v>2</v>
      </c>
    </row>
    <row r="10" spans="1:31" x14ac:dyDescent="0.25">
      <c r="A10" s="96" t="s">
        <v>714</v>
      </c>
      <c r="B10" s="167" t="s">
        <v>698</v>
      </c>
      <c r="C10" s="1108" t="s">
        <v>587</v>
      </c>
      <c r="D10" s="50">
        <f>Poeng!T26</f>
        <v>3</v>
      </c>
      <c r="E10" s="49"/>
      <c r="F10" s="52">
        <f>Poeng!AB26</f>
        <v>3</v>
      </c>
      <c r="H10" s="165">
        <f t="shared" si="0"/>
        <v>1</v>
      </c>
      <c r="I10" s="365" t="str">
        <f t="shared" si="1"/>
        <v>FEIL</v>
      </c>
      <c r="K10" s="348"/>
      <c r="N10" s="353" t="s">
        <v>96</v>
      </c>
      <c r="O10" s="348" t="b">
        <f t="shared" si="2"/>
        <v>0</v>
      </c>
      <c r="R10" s="981" t="s">
        <v>715</v>
      </c>
      <c r="S10" s="1313"/>
      <c r="T10" s="1110" t="s">
        <v>588</v>
      </c>
      <c r="U10" s="1048">
        <v>1</v>
      </c>
      <c r="V10" s="1058" t="s">
        <v>348</v>
      </c>
      <c r="W10" s="1045"/>
      <c r="X10" s="1025"/>
      <c r="Y10" s="1025"/>
      <c r="Z10" s="1025"/>
      <c r="AA10" s="1025"/>
      <c r="AB10" s="1025"/>
      <c r="AC10" s="1025"/>
      <c r="AD10" s="1025"/>
      <c r="AE10">
        <v>3</v>
      </c>
    </row>
    <row r="11" spans="1:31" ht="15" customHeight="1" x14ac:dyDescent="0.25">
      <c r="A11" s="96" t="s">
        <v>715</v>
      </c>
      <c r="B11" s="167" t="s">
        <v>696</v>
      </c>
      <c r="C11" s="1108" t="s">
        <v>588</v>
      </c>
      <c r="D11" s="50">
        <f>Poeng!T30</f>
        <v>3</v>
      </c>
      <c r="E11" s="49"/>
      <c r="F11" s="52">
        <f>Poeng!AB30</f>
        <v>3</v>
      </c>
      <c r="H11" s="165">
        <f t="shared" si="0"/>
        <v>1</v>
      </c>
      <c r="I11" s="365" t="str">
        <f t="shared" si="1"/>
        <v>FEIL</v>
      </c>
      <c r="K11" s="348"/>
      <c r="N11" s="353" t="s">
        <v>97</v>
      </c>
      <c r="O11" s="348" t="b">
        <f t="shared" si="2"/>
        <v>0</v>
      </c>
      <c r="R11" s="981" t="s">
        <v>716</v>
      </c>
      <c r="S11" s="1317"/>
      <c r="T11" s="1110" t="s">
        <v>589</v>
      </c>
      <c r="U11" s="1048">
        <v>2</v>
      </c>
      <c r="V11" s="1058" t="s">
        <v>348</v>
      </c>
      <c r="W11" s="1045"/>
      <c r="X11" s="1025"/>
      <c r="Y11" s="1025"/>
      <c r="Z11" s="1025"/>
      <c r="AA11" s="1025"/>
      <c r="AB11" s="1025"/>
      <c r="AC11" s="1025"/>
      <c r="AD11" s="1025"/>
      <c r="AE11" s="981">
        <v>4</v>
      </c>
    </row>
    <row r="12" spans="1:31" x14ac:dyDescent="0.25">
      <c r="A12" s="96" t="s">
        <v>716</v>
      </c>
      <c r="B12" s="167" t="s">
        <v>695</v>
      </c>
      <c r="C12" s="1108" t="s">
        <v>589</v>
      </c>
      <c r="D12" s="50">
        <f>Poeng!T34</f>
        <v>0</v>
      </c>
      <c r="E12" s="49"/>
      <c r="F12" s="52">
        <f>Poeng!AB34</f>
        <v>0</v>
      </c>
      <c r="H12" s="165">
        <f t="shared" si="0"/>
        <v>2</v>
      </c>
      <c r="I12" s="365" t="str">
        <f t="shared" si="1"/>
        <v>FEIL</v>
      </c>
      <c r="K12" s="348"/>
      <c r="N12" s="350"/>
      <c r="O12" s="348" t="b">
        <f t="shared" si="2"/>
        <v>0</v>
      </c>
      <c r="R12" s="981"/>
      <c r="S12" s="1309" t="s">
        <v>94</v>
      </c>
      <c r="T12" s="1111" t="s">
        <v>835</v>
      </c>
      <c r="U12" s="1055"/>
      <c r="V12" s="1029"/>
      <c r="W12" s="1045"/>
      <c r="X12" s="1025"/>
      <c r="Y12" s="1025"/>
      <c r="Z12" s="1025"/>
      <c r="AA12" s="1025"/>
      <c r="AB12" s="1025"/>
      <c r="AC12" s="1025"/>
      <c r="AD12" s="1025"/>
      <c r="AE12" s="981">
        <v>5</v>
      </c>
    </row>
    <row r="13" spans="1:31" ht="15.75" thickBot="1" x14ac:dyDescent="0.3">
      <c r="A13" s="137" t="s">
        <v>94</v>
      </c>
      <c r="B13" s="832" t="s">
        <v>94</v>
      </c>
      <c r="C13" s="832" t="s">
        <v>308</v>
      </c>
      <c r="D13" s="55">
        <f>Poeng!T35</f>
        <v>0</v>
      </c>
      <c r="E13" s="54"/>
      <c r="F13" s="52">
        <f>Poeng!AB35</f>
        <v>0</v>
      </c>
      <c r="H13" s="919">
        <f t="shared" si="0"/>
        <v>0</v>
      </c>
      <c r="I13" s="365" t="str">
        <f t="shared" si="1"/>
        <v>OK</v>
      </c>
      <c r="K13" s="348"/>
      <c r="N13" s="351" t="s">
        <v>352</v>
      </c>
      <c r="O13" s="348" t="b">
        <f t="shared" si="2"/>
        <v>0</v>
      </c>
      <c r="R13" s="981" t="s">
        <v>717</v>
      </c>
      <c r="S13" s="1310"/>
      <c r="T13" s="1110" t="s">
        <v>592</v>
      </c>
      <c r="U13" s="1049">
        <v>2</v>
      </c>
      <c r="V13" s="1058" t="s">
        <v>348</v>
      </c>
      <c r="W13" s="1045"/>
      <c r="X13" s="1025"/>
      <c r="Y13" s="1025"/>
      <c r="Z13" s="1025"/>
      <c r="AA13" s="1025"/>
      <c r="AB13" s="1025"/>
      <c r="AC13" s="1025"/>
      <c r="AD13" s="1025"/>
      <c r="AE13" s="981">
        <v>6</v>
      </c>
    </row>
    <row r="14" spans="1:31" ht="15.75" thickBot="1" x14ac:dyDescent="0.3">
      <c r="A14" s="96" t="s">
        <v>717</v>
      </c>
      <c r="B14" s="167" t="s">
        <v>694</v>
      </c>
      <c r="C14" s="1108" t="s">
        <v>592</v>
      </c>
      <c r="D14" s="56">
        <f>Poeng!T36</f>
        <v>21</v>
      </c>
      <c r="E14" s="56"/>
      <c r="F14" s="56">
        <f>SUM(F7:F13)</f>
        <v>21</v>
      </c>
      <c r="H14" s="165">
        <f t="shared" si="0"/>
        <v>2</v>
      </c>
      <c r="I14" s="365" t="str">
        <f t="shared" si="1"/>
        <v>FEIL</v>
      </c>
      <c r="K14" s="348"/>
      <c r="N14" s="356" t="s">
        <v>118</v>
      </c>
      <c r="O14" s="348" t="b">
        <f t="shared" si="2"/>
        <v>0</v>
      </c>
      <c r="R14" s="981" t="s">
        <v>718</v>
      </c>
      <c r="S14" s="1311"/>
      <c r="T14" s="1110" t="s">
        <v>593</v>
      </c>
      <c r="U14" s="1049">
        <v>1</v>
      </c>
      <c r="V14" s="1058" t="s">
        <v>348</v>
      </c>
      <c r="W14" s="1045"/>
      <c r="X14" s="1025"/>
      <c r="Y14" s="1025"/>
      <c r="Z14" s="1025"/>
      <c r="AA14" s="1025"/>
      <c r="AB14" s="1025"/>
      <c r="AC14" s="1025"/>
      <c r="AD14" s="1025"/>
      <c r="AE14" s="981">
        <v>7</v>
      </c>
    </row>
    <row r="15" spans="1:31" ht="15.75" thickBot="1" x14ac:dyDescent="0.3">
      <c r="A15" s="96" t="s">
        <v>718</v>
      </c>
      <c r="B15" s="167" t="s">
        <v>697</v>
      </c>
      <c r="C15" s="1108" t="s">
        <v>593</v>
      </c>
      <c r="D15" s="30"/>
      <c r="E15" s="30"/>
      <c r="H15" s="165">
        <f t="shared" si="0"/>
        <v>1</v>
      </c>
      <c r="I15" s="365" t="str">
        <f t="shared" si="1"/>
        <v>FEIL</v>
      </c>
      <c r="K15" s="348"/>
      <c r="N15" s="357"/>
      <c r="O15" s="348" t="b">
        <f t="shared" si="2"/>
        <v>0</v>
      </c>
      <c r="R15" s="981"/>
      <c r="S15" s="1309" t="s">
        <v>95</v>
      </c>
      <c r="T15" s="1027" t="s">
        <v>349</v>
      </c>
      <c r="U15" s="1055"/>
      <c r="V15" s="1029"/>
      <c r="W15" s="1045"/>
      <c r="X15" s="981"/>
      <c r="Y15" s="981"/>
      <c r="Z15" s="981"/>
      <c r="AA15" s="981"/>
      <c r="AB15" s="981"/>
      <c r="AC15" s="981"/>
      <c r="AD15" s="981"/>
      <c r="AE15" s="981">
        <v>8</v>
      </c>
    </row>
    <row r="16" spans="1:31" ht="15.75" thickBot="1" x14ac:dyDescent="0.3">
      <c r="A16" s="137" t="s">
        <v>95</v>
      </c>
      <c r="B16" s="832" t="s">
        <v>95</v>
      </c>
      <c r="C16" s="832" t="s">
        <v>309</v>
      </c>
      <c r="D16" s="53"/>
      <c r="E16" s="53"/>
      <c r="F16" s="53"/>
      <c r="H16" s="919">
        <f t="shared" si="0"/>
        <v>0</v>
      </c>
      <c r="I16" s="365" t="str">
        <f t="shared" si="1"/>
        <v>OK</v>
      </c>
      <c r="K16" s="348"/>
      <c r="N16" s="358"/>
      <c r="O16" s="348" t="b">
        <f t="shared" si="2"/>
        <v>1</v>
      </c>
      <c r="R16" s="981" t="s">
        <v>719</v>
      </c>
      <c r="S16" s="1310"/>
      <c r="T16" s="988" t="s">
        <v>594</v>
      </c>
      <c r="U16" s="1048">
        <v>1</v>
      </c>
      <c r="V16" s="1058" t="s">
        <v>348</v>
      </c>
      <c r="W16" s="1045"/>
      <c r="X16" s="981"/>
      <c r="Y16" s="981"/>
      <c r="Z16" s="981"/>
      <c r="AA16" s="981"/>
      <c r="AB16" s="981"/>
      <c r="AC16" s="981"/>
      <c r="AD16" s="981"/>
      <c r="AE16" s="981">
        <v>9</v>
      </c>
    </row>
    <row r="17" spans="1:31" x14ac:dyDescent="0.25">
      <c r="A17" s="96" t="s">
        <v>719</v>
      </c>
      <c r="B17" s="167" t="s">
        <v>694</v>
      </c>
      <c r="C17" s="917" t="s">
        <v>594</v>
      </c>
      <c r="D17" s="52">
        <f>Poeng!T39</f>
        <v>7</v>
      </c>
      <c r="E17" s="51"/>
      <c r="F17" s="52">
        <f>Poeng!AB39</f>
        <v>7</v>
      </c>
      <c r="H17" s="165">
        <f t="shared" si="0"/>
        <v>1</v>
      </c>
      <c r="I17" s="365" t="str">
        <f t="shared" si="1"/>
        <v>FEIL</v>
      </c>
      <c r="K17" s="348"/>
      <c r="N17" s="356" t="s">
        <v>119</v>
      </c>
      <c r="O17" s="348" t="b">
        <f t="shared" si="2"/>
        <v>0</v>
      </c>
      <c r="R17" s="981" t="s">
        <v>720</v>
      </c>
      <c r="S17" s="1310"/>
      <c r="T17" s="988" t="s">
        <v>595</v>
      </c>
      <c r="U17" s="1048">
        <v>1</v>
      </c>
      <c r="V17" s="1058" t="s">
        <v>348</v>
      </c>
      <c r="W17" s="1045"/>
      <c r="X17" s="981"/>
      <c r="Y17" s="981"/>
      <c r="Z17" s="981"/>
      <c r="AA17" s="981"/>
      <c r="AB17" s="981"/>
      <c r="AC17" s="981"/>
      <c r="AD17" s="981"/>
      <c r="AE17" s="981">
        <v>10</v>
      </c>
    </row>
    <row r="18" spans="1:31" x14ac:dyDescent="0.25">
      <c r="A18" s="96" t="s">
        <v>720</v>
      </c>
      <c r="B18" s="167" t="s">
        <v>697</v>
      </c>
      <c r="C18" s="917" t="s">
        <v>595</v>
      </c>
      <c r="D18" s="50">
        <f>Poeng!T46</f>
        <v>4</v>
      </c>
      <c r="E18" s="49"/>
      <c r="F18" s="52">
        <f>Poeng!AB46</f>
        <v>4</v>
      </c>
      <c r="H18" s="165">
        <f t="shared" si="0"/>
        <v>1</v>
      </c>
      <c r="I18" s="365" t="str">
        <f t="shared" si="1"/>
        <v>FEIL</v>
      </c>
      <c r="K18" s="348"/>
      <c r="N18" s="357"/>
      <c r="O18" s="348" t="b">
        <f t="shared" si="2"/>
        <v>1</v>
      </c>
      <c r="R18" s="981" t="s">
        <v>721</v>
      </c>
      <c r="S18" s="1310"/>
      <c r="T18" s="988" t="s">
        <v>596</v>
      </c>
      <c r="U18" s="1048">
        <v>2</v>
      </c>
      <c r="V18" s="1058" t="s">
        <v>348</v>
      </c>
      <c r="W18" s="1045"/>
      <c r="X18" s="981"/>
      <c r="Y18" s="981"/>
      <c r="Z18" s="981"/>
      <c r="AA18" s="981"/>
      <c r="AB18" s="981"/>
      <c r="AC18" s="981"/>
      <c r="AD18" s="981"/>
      <c r="AE18" s="981">
        <v>11</v>
      </c>
    </row>
    <row r="19" spans="1:31" x14ac:dyDescent="0.25">
      <c r="A19" s="96" t="s">
        <v>721</v>
      </c>
      <c r="B19" s="167" t="s">
        <v>698</v>
      </c>
      <c r="C19" s="1011" t="s">
        <v>913</v>
      </c>
      <c r="D19" s="50">
        <f>Poeng!T51</f>
        <v>3</v>
      </c>
      <c r="E19" s="49"/>
      <c r="F19" s="52">
        <f>Poeng!AB51</f>
        <v>3</v>
      </c>
      <c r="H19" s="1038">
        <f>IF(SUMIF($R$7:$R$182,A19,$U$7:$U$182)=2,1,SUMIF($R$7:$R$182,A19,$U$7:$U$182))</f>
        <v>1</v>
      </c>
      <c r="I19" s="365" t="str">
        <f t="shared" si="1"/>
        <v>FEIL</v>
      </c>
      <c r="J19" s="1040" t="s">
        <v>945</v>
      </c>
      <c r="K19" s="348"/>
      <c r="N19" s="358"/>
      <c r="O19" s="348" t="b">
        <f t="shared" si="2"/>
        <v>1</v>
      </c>
      <c r="R19" s="981" t="s">
        <v>911</v>
      </c>
      <c r="S19" s="1311"/>
      <c r="T19" s="988" t="s">
        <v>597</v>
      </c>
      <c r="U19" s="1048">
        <v>3</v>
      </c>
      <c r="V19" s="1058" t="s">
        <v>348</v>
      </c>
      <c r="W19" s="1045"/>
      <c r="AE19" s="981">
        <v>12</v>
      </c>
    </row>
    <row r="20" spans="1:31" ht="15" customHeight="1" x14ac:dyDescent="0.25">
      <c r="A20" s="96" t="s">
        <v>722</v>
      </c>
      <c r="B20" s="167" t="s">
        <v>696</v>
      </c>
      <c r="C20" s="1011" t="s">
        <v>914</v>
      </c>
      <c r="D20" s="50">
        <f>Poeng!T55</f>
        <v>0</v>
      </c>
      <c r="E20" s="49"/>
      <c r="F20" s="52">
        <f>Poeng!AB55</f>
        <v>0</v>
      </c>
      <c r="H20" s="1038">
        <f>IF(SUMIF($R$7:$R$182,A19,$U$7:$U$182)=2,1,0)</f>
        <v>1</v>
      </c>
      <c r="I20" s="365" t="str">
        <f t="shared" si="1"/>
        <v>FEIL</v>
      </c>
      <c r="J20" s="1040" t="s">
        <v>945</v>
      </c>
      <c r="K20" s="348"/>
      <c r="N20" s="354" t="s">
        <v>120</v>
      </c>
      <c r="O20" s="348" t="b">
        <f t="shared" si="2"/>
        <v>0</v>
      </c>
      <c r="R20" s="981"/>
      <c r="S20" s="1309" t="s">
        <v>96</v>
      </c>
      <c r="T20" s="1027" t="s">
        <v>350</v>
      </c>
      <c r="U20" s="1055"/>
      <c r="V20" s="1029"/>
      <c r="W20" s="1045"/>
      <c r="AE20" s="981">
        <v>13</v>
      </c>
    </row>
    <row r="21" spans="1:31" x14ac:dyDescent="0.25">
      <c r="A21" s="96" t="s">
        <v>911</v>
      </c>
      <c r="B21" s="167" t="s">
        <v>695</v>
      </c>
      <c r="C21" s="1011" t="s">
        <v>915</v>
      </c>
      <c r="D21" s="50">
        <f>Poeng!T56</f>
        <v>3</v>
      </c>
      <c r="E21" s="49"/>
      <c r="F21" s="52">
        <f>Poeng!AB56</f>
        <v>3</v>
      </c>
      <c r="H21" s="1038">
        <f>IF(SUMIF($R$7:$R$182,A21,$U$7:$U$182)=3,1,SUMIF($R$7:$R$182,A21,$U$7:$U$182))</f>
        <v>1</v>
      </c>
      <c r="I21" s="365" t="str">
        <f t="shared" si="1"/>
        <v>FEIL</v>
      </c>
      <c r="J21" t="s">
        <v>945</v>
      </c>
      <c r="K21" s="348"/>
      <c r="N21" s="354" t="s">
        <v>121</v>
      </c>
      <c r="O21" s="348" t="b">
        <f t="shared" si="2"/>
        <v>0</v>
      </c>
      <c r="R21" s="981" t="s">
        <v>723</v>
      </c>
      <c r="S21" s="1310"/>
      <c r="T21" s="988" t="s">
        <v>598</v>
      </c>
      <c r="U21" s="1048">
        <v>1</v>
      </c>
      <c r="V21" s="1058" t="s">
        <v>348</v>
      </c>
      <c r="W21" s="1045"/>
      <c r="AE21" s="981">
        <v>14</v>
      </c>
    </row>
    <row r="22" spans="1:31" ht="48.75" customHeight="1" x14ac:dyDescent="0.25">
      <c r="A22" s="96" t="s">
        <v>912</v>
      </c>
      <c r="B22" s="167" t="s">
        <v>910</v>
      </c>
      <c r="C22" s="1011" t="s">
        <v>916</v>
      </c>
      <c r="D22" s="50">
        <f>Poeng!T59</f>
        <v>2</v>
      </c>
      <c r="E22" s="49"/>
      <c r="F22" s="52">
        <f>Poeng!AB59</f>
        <v>2</v>
      </c>
      <c r="H22" s="1038">
        <f>IF(SUMIF($R$7:$R$182,A21,$U$7:$U$182)=3,2,0)</f>
        <v>2</v>
      </c>
      <c r="I22" s="365" t="str">
        <f t="shared" si="1"/>
        <v>OK</v>
      </c>
      <c r="J22" s="1040" t="s">
        <v>945</v>
      </c>
      <c r="K22" s="348"/>
      <c r="N22" s="354" t="s">
        <v>122</v>
      </c>
      <c r="O22" s="348" t="b">
        <f t="shared" si="2"/>
        <v>0</v>
      </c>
      <c r="R22" s="981" t="s">
        <v>724</v>
      </c>
      <c r="S22" s="1310"/>
      <c r="T22" s="988" t="s">
        <v>599</v>
      </c>
      <c r="U22" s="1048">
        <v>1</v>
      </c>
      <c r="V22" s="1058" t="s">
        <v>348</v>
      </c>
      <c r="W22" s="1045"/>
      <c r="AE22" s="981">
        <v>15</v>
      </c>
    </row>
    <row r="23" spans="1:31" ht="15" customHeight="1" x14ac:dyDescent="0.25">
      <c r="A23" s="137" t="s">
        <v>96</v>
      </c>
      <c r="B23" s="832" t="s">
        <v>96</v>
      </c>
      <c r="C23" s="832" t="s">
        <v>397</v>
      </c>
      <c r="D23" s="67">
        <f>Poeng!T62</f>
        <v>0</v>
      </c>
      <c r="E23" s="49"/>
      <c r="F23" s="366">
        <f>Poeng!AB62</f>
        <v>0</v>
      </c>
      <c r="H23" s="919">
        <f t="shared" si="0"/>
        <v>0</v>
      </c>
      <c r="I23" s="365" t="str">
        <f t="shared" si="1"/>
        <v>OK</v>
      </c>
      <c r="K23" s="348"/>
      <c r="N23" s="354" t="s">
        <v>123</v>
      </c>
      <c r="O23" s="348" t="b">
        <f t="shared" si="2"/>
        <v>0</v>
      </c>
      <c r="R23" s="981" t="s">
        <v>725</v>
      </c>
      <c r="S23" s="1311"/>
      <c r="T23" s="988" t="s">
        <v>600</v>
      </c>
      <c r="U23" s="1048">
        <v>1</v>
      </c>
      <c r="V23" s="1058" t="s">
        <v>348</v>
      </c>
      <c r="W23" s="1045"/>
      <c r="AE23" s="981">
        <v>16</v>
      </c>
    </row>
    <row r="24" spans="1:31" x14ac:dyDescent="0.25">
      <c r="A24" s="96" t="s">
        <v>723</v>
      </c>
      <c r="B24" s="167" t="s">
        <v>694</v>
      </c>
      <c r="C24" s="917" t="s">
        <v>598</v>
      </c>
      <c r="D24" s="50">
        <f>Poeng!T63</f>
        <v>0</v>
      </c>
      <c r="E24" s="49"/>
      <c r="F24" s="52">
        <f>Poeng!AB63</f>
        <v>0</v>
      </c>
      <c r="H24" s="165">
        <f t="shared" si="0"/>
        <v>1</v>
      </c>
      <c r="I24" s="365" t="str">
        <f t="shared" si="1"/>
        <v>FEIL</v>
      </c>
      <c r="K24" s="348"/>
      <c r="N24" s="354" t="s">
        <v>124</v>
      </c>
      <c r="O24" s="348" t="b">
        <f t="shared" si="2"/>
        <v>0</v>
      </c>
      <c r="R24" s="981"/>
      <c r="S24" s="1312" t="s">
        <v>97</v>
      </c>
      <c r="T24" s="1028" t="s">
        <v>351</v>
      </c>
      <c r="U24" s="1055"/>
      <c r="V24" s="1029"/>
      <c r="W24" s="1045"/>
      <c r="AE24" s="981">
        <v>17</v>
      </c>
    </row>
    <row r="25" spans="1:31" ht="73.5" customHeight="1" thickBot="1" x14ac:dyDescent="0.3">
      <c r="A25" s="96" t="s">
        <v>724</v>
      </c>
      <c r="B25" s="167" t="s">
        <v>697</v>
      </c>
      <c r="C25" s="917" t="s">
        <v>599</v>
      </c>
      <c r="D25" s="55">
        <f>Poeng!T65</f>
        <v>0</v>
      </c>
      <c r="E25" s="54"/>
      <c r="F25" s="52">
        <f>Poeng!AB65</f>
        <v>0</v>
      </c>
      <c r="H25" s="165">
        <f t="shared" si="0"/>
        <v>1</v>
      </c>
      <c r="I25" s="365" t="str">
        <f t="shared" si="1"/>
        <v>FEIL</v>
      </c>
      <c r="N25" s="354" t="s">
        <v>125</v>
      </c>
      <c r="O25" s="348" t="b">
        <f t="shared" si="2"/>
        <v>0</v>
      </c>
      <c r="R25" s="981" t="s">
        <v>726</v>
      </c>
      <c r="S25" s="1313"/>
      <c r="T25" s="988" t="s">
        <v>601</v>
      </c>
      <c r="U25" s="1048">
        <v>1</v>
      </c>
      <c r="V25" s="1058" t="s">
        <v>348</v>
      </c>
      <c r="W25" s="1045"/>
      <c r="AE25" s="981">
        <v>18</v>
      </c>
    </row>
    <row r="26" spans="1:31" ht="15.75" thickBot="1" x14ac:dyDescent="0.3">
      <c r="A26" s="96" t="s">
        <v>725</v>
      </c>
      <c r="B26" s="167" t="s">
        <v>698</v>
      </c>
      <c r="C26" s="917" t="s">
        <v>600</v>
      </c>
      <c r="D26" s="56">
        <f>Poeng!T66</f>
        <v>19</v>
      </c>
      <c r="E26" s="56"/>
      <c r="F26" s="56">
        <f>SUM(F17:F25)</f>
        <v>19</v>
      </c>
      <c r="H26" s="165">
        <f t="shared" si="0"/>
        <v>1</v>
      </c>
      <c r="I26" s="365" t="str">
        <f t="shared" si="1"/>
        <v>FEIL</v>
      </c>
      <c r="N26" s="354" t="s">
        <v>126</v>
      </c>
      <c r="O26" s="348" t="b">
        <f t="shared" si="2"/>
        <v>0</v>
      </c>
      <c r="R26" s="981" t="s">
        <v>727</v>
      </c>
      <c r="S26" s="1313"/>
      <c r="T26" s="988" t="s">
        <v>602</v>
      </c>
      <c r="U26" s="1048">
        <v>1</v>
      </c>
      <c r="V26" s="1058" t="s">
        <v>348</v>
      </c>
      <c r="W26" s="1045"/>
      <c r="AE26" s="981">
        <v>19</v>
      </c>
    </row>
    <row r="27" spans="1:31" ht="15.75" thickBot="1" x14ac:dyDescent="0.3">
      <c r="A27" s="137" t="s">
        <v>97</v>
      </c>
      <c r="B27" s="832" t="s">
        <v>97</v>
      </c>
      <c r="C27" s="832" t="s">
        <v>310</v>
      </c>
      <c r="D27" s="30"/>
      <c r="E27" s="30"/>
      <c r="H27" s="919">
        <f t="shared" si="0"/>
        <v>0</v>
      </c>
      <c r="I27" s="365" t="str">
        <f t="shared" si="1"/>
        <v>OK</v>
      </c>
      <c r="N27" s="350"/>
      <c r="O27" s="348" t="b">
        <f t="shared" si="2"/>
        <v>1</v>
      </c>
      <c r="R27" s="981" t="s">
        <v>728</v>
      </c>
      <c r="S27" s="1313"/>
      <c r="T27" s="988" t="s">
        <v>603</v>
      </c>
      <c r="U27" s="1048">
        <v>1</v>
      </c>
      <c r="V27" s="1058" t="s">
        <v>348</v>
      </c>
      <c r="W27" s="1045"/>
      <c r="AE27" s="981">
        <v>20</v>
      </c>
    </row>
    <row r="28" spans="1:31" ht="15.75" thickBot="1" x14ac:dyDescent="0.3">
      <c r="A28" s="96" t="s">
        <v>726</v>
      </c>
      <c r="B28" s="167" t="s">
        <v>694</v>
      </c>
      <c r="C28" s="917" t="s">
        <v>601</v>
      </c>
      <c r="D28" s="53"/>
      <c r="E28" s="53"/>
      <c r="F28" s="53"/>
      <c r="H28" s="165">
        <f t="shared" si="0"/>
        <v>1</v>
      </c>
      <c r="I28" s="365" t="str">
        <f t="shared" si="1"/>
        <v>FEIL</v>
      </c>
      <c r="N28" s="351" t="s">
        <v>355</v>
      </c>
      <c r="O28" s="348" t="b">
        <f t="shared" si="2"/>
        <v>0</v>
      </c>
      <c r="R28" s="981"/>
      <c r="S28" s="986" t="s">
        <v>352</v>
      </c>
      <c r="T28" s="985"/>
      <c r="U28" s="1046"/>
      <c r="V28" s="1047"/>
      <c r="W28" s="1045"/>
      <c r="AE28" s="981">
        <v>21</v>
      </c>
    </row>
    <row r="29" spans="1:31" x14ac:dyDescent="0.25">
      <c r="A29" s="96" t="s">
        <v>727</v>
      </c>
      <c r="B29" s="167" t="s">
        <v>697</v>
      </c>
      <c r="C29" s="917" t="s">
        <v>602</v>
      </c>
      <c r="D29" s="52">
        <f>Poeng!T69</f>
        <v>12</v>
      </c>
      <c r="E29" s="51"/>
      <c r="F29" s="52">
        <f>Poeng!AB69</f>
        <v>12</v>
      </c>
      <c r="H29" s="165">
        <f t="shared" si="0"/>
        <v>1</v>
      </c>
      <c r="I29" s="365" t="str">
        <f t="shared" si="1"/>
        <v>FEIL</v>
      </c>
      <c r="N29" s="354" t="s">
        <v>136</v>
      </c>
      <c r="O29" s="348" t="b">
        <f t="shared" si="2"/>
        <v>0</v>
      </c>
      <c r="R29" s="981"/>
      <c r="S29" s="1303" t="s">
        <v>118</v>
      </c>
      <c r="T29" s="1030" t="s">
        <v>836</v>
      </c>
      <c r="U29" s="1056"/>
      <c r="V29" s="1031"/>
      <c r="W29" s="1045"/>
      <c r="AE29" s="981">
        <v>22</v>
      </c>
    </row>
    <row r="30" spans="1:31" x14ac:dyDescent="0.25">
      <c r="A30" s="96" t="s">
        <v>728</v>
      </c>
      <c r="B30" s="167" t="s">
        <v>698</v>
      </c>
      <c r="C30" s="917" t="s">
        <v>603</v>
      </c>
      <c r="D30" s="50">
        <f>Poeng!T75</f>
        <v>2</v>
      </c>
      <c r="E30" s="49"/>
      <c r="F30" s="52">
        <f>Poeng!AB75</f>
        <v>2</v>
      </c>
      <c r="H30" s="165">
        <f t="shared" si="0"/>
        <v>1</v>
      </c>
      <c r="I30" s="365" t="str">
        <f t="shared" si="1"/>
        <v>FEIL</v>
      </c>
      <c r="N30" s="354" t="s">
        <v>254</v>
      </c>
      <c r="O30" s="348" t="b">
        <f t="shared" si="2"/>
        <v>0</v>
      </c>
      <c r="R30" s="981" t="s">
        <v>730</v>
      </c>
      <c r="S30" s="1304"/>
      <c r="T30" s="990" t="s">
        <v>604</v>
      </c>
      <c r="U30" s="1050">
        <v>3</v>
      </c>
      <c r="V30" s="1059" t="s">
        <v>348</v>
      </c>
      <c r="W30" s="1045"/>
      <c r="AE30" s="981">
        <v>23</v>
      </c>
    </row>
    <row r="31" spans="1:31" x14ac:dyDescent="0.25">
      <c r="A31" s="96"/>
      <c r="B31" s="700" t="s">
        <v>98</v>
      </c>
      <c r="C31" s="700"/>
      <c r="D31" s="50">
        <f>Poeng!T79</f>
        <v>1</v>
      </c>
      <c r="E31" s="49"/>
      <c r="F31" s="52">
        <f>Poeng!AB79</f>
        <v>1</v>
      </c>
      <c r="H31" s="954">
        <f t="shared" si="0"/>
        <v>0</v>
      </c>
      <c r="I31" s="365" t="str">
        <f t="shared" si="1"/>
        <v>FEIL</v>
      </c>
      <c r="N31" s="354" t="s">
        <v>356</v>
      </c>
      <c r="O31" s="348" t="b">
        <f t="shared" si="2"/>
        <v>0</v>
      </c>
      <c r="R31" s="981" t="s">
        <v>731</v>
      </c>
      <c r="S31" s="1304"/>
      <c r="T31" s="990" t="s">
        <v>605</v>
      </c>
      <c r="U31" s="1051">
        <v>1</v>
      </c>
      <c r="V31" s="1060" t="s">
        <v>348</v>
      </c>
      <c r="W31" s="1045"/>
      <c r="AE31" s="981">
        <v>24</v>
      </c>
    </row>
    <row r="32" spans="1:31" ht="15.75" customHeight="1" thickBot="1" x14ac:dyDescent="0.3">
      <c r="A32" s="96"/>
      <c r="B32" s="700" t="s">
        <v>99</v>
      </c>
      <c r="C32" s="700"/>
      <c r="D32" s="50">
        <f>Poeng!T82</f>
        <v>0</v>
      </c>
      <c r="E32" s="49"/>
      <c r="F32" s="52">
        <f>Poeng!AB82</f>
        <v>0</v>
      </c>
      <c r="H32" s="954">
        <f t="shared" si="0"/>
        <v>0</v>
      </c>
      <c r="I32" s="365" t="str">
        <f t="shared" si="1"/>
        <v>OK</v>
      </c>
      <c r="N32" s="354" t="s">
        <v>138</v>
      </c>
      <c r="O32" s="348" t="b">
        <f t="shared" si="2"/>
        <v>0</v>
      </c>
      <c r="R32" s="981" t="s">
        <v>732</v>
      </c>
      <c r="S32" s="1304"/>
      <c r="T32" s="990" t="s">
        <v>606</v>
      </c>
      <c r="U32" s="1051">
        <v>1</v>
      </c>
      <c r="V32" s="1060" t="s">
        <v>348</v>
      </c>
      <c r="W32" s="1045"/>
      <c r="AE32" s="981">
        <v>25</v>
      </c>
    </row>
    <row r="33" spans="1:31" ht="15.75" thickBot="1" x14ac:dyDescent="0.3">
      <c r="A33" s="96" t="s">
        <v>883</v>
      </c>
      <c r="B33" s="711"/>
      <c r="C33" s="710" t="s">
        <v>215</v>
      </c>
      <c r="D33" s="50">
        <f>Poeng!T83</f>
        <v>2</v>
      </c>
      <c r="E33" s="49"/>
      <c r="F33" s="52">
        <f>Poeng!AB83</f>
        <v>2</v>
      </c>
      <c r="H33" s="203">
        <f t="shared" si="0"/>
        <v>0</v>
      </c>
      <c r="I33" s="365" t="str">
        <f t="shared" si="1"/>
        <v>FEIL</v>
      </c>
      <c r="N33" s="354" t="s">
        <v>139</v>
      </c>
      <c r="O33" s="348" t="b">
        <f t="shared" si="2"/>
        <v>0</v>
      </c>
      <c r="R33" s="981" t="s">
        <v>733</v>
      </c>
      <c r="S33" s="1304"/>
      <c r="T33" s="990" t="s">
        <v>607</v>
      </c>
      <c r="U33" s="1051">
        <v>1</v>
      </c>
      <c r="V33" s="1060" t="s">
        <v>348</v>
      </c>
      <c r="W33" s="1045"/>
      <c r="AE33" s="981">
        <v>26</v>
      </c>
    </row>
    <row r="34" spans="1:31" ht="15.75" thickBot="1" x14ac:dyDescent="0.3">
      <c r="A34" s="96"/>
      <c r="B34" s="96"/>
      <c r="C34" s="96"/>
      <c r="D34" s="50">
        <f>Poeng!T86</f>
        <v>3</v>
      </c>
      <c r="E34" s="49"/>
      <c r="F34" s="52">
        <f>Poeng!AB86</f>
        <v>3</v>
      </c>
      <c r="H34" s="96">
        <f t="shared" si="0"/>
        <v>0</v>
      </c>
      <c r="I34" s="365" t="str">
        <f t="shared" si="1"/>
        <v>FEIL</v>
      </c>
      <c r="N34" s="354" t="s">
        <v>140</v>
      </c>
      <c r="O34" s="348" t="b">
        <f t="shared" si="2"/>
        <v>0</v>
      </c>
      <c r="R34" s="981" t="s">
        <v>957</v>
      </c>
      <c r="S34" s="1305"/>
      <c r="T34" s="990" t="s">
        <v>608</v>
      </c>
      <c r="U34" s="1048">
        <v>1</v>
      </c>
      <c r="V34" s="1059" t="s">
        <v>348</v>
      </c>
      <c r="W34" s="1045"/>
      <c r="AE34" s="981">
        <v>27</v>
      </c>
    </row>
    <row r="35" spans="1:31" ht="15.75" thickBot="1" x14ac:dyDescent="0.3">
      <c r="A35" s="96"/>
      <c r="B35" s="145"/>
      <c r="C35" s="146" t="s">
        <v>66</v>
      </c>
      <c r="D35" s="50">
        <f>Poeng!T90</f>
        <v>5</v>
      </c>
      <c r="E35" s="49"/>
      <c r="F35" s="52">
        <f>Poeng!AB90</f>
        <v>5</v>
      </c>
      <c r="H35" s="138">
        <f t="shared" si="0"/>
        <v>0</v>
      </c>
      <c r="I35" s="365" t="str">
        <f t="shared" si="1"/>
        <v>FEIL</v>
      </c>
      <c r="N35" s="354" t="s">
        <v>141</v>
      </c>
      <c r="O35" s="348" t="b">
        <f t="shared" si="2"/>
        <v>0</v>
      </c>
      <c r="R35" s="981"/>
      <c r="S35" s="1303" t="s">
        <v>119</v>
      </c>
      <c r="T35" s="1030" t="s">
        <v>837</v>
      </c>
      <c r="U35" s="1056"/>
      <c r="V35" s="1031"/>
      <c r="W35" s="1045"/>
      <c r="AE35" s="981">
        <v>28</v>
      </c>
    </row>
    <row r="36" spans="1:31" x14ac:dyDescent="0.25">
      <c r="A36" s="137" t="s">
        <v>118</v>
      </c>
      <c r="B36" s="833" t="s">
        <v>118</v>
      </c>
      <c r="C36" s="831" t="s">
        <v>116</v>
      </c>
      <c r="D36" s="50">
        <f>Poeng!T93</f>
        <v>2</v>
      </c>
      <c r="E36" s="49"/>
      <c r="F36" s="52">
        <f>Poeng!AB93</f>
        <v>2</v>
      </c>
      <c r="H36" s="961">
        <f t="shared" si="0"/>
        <v>0</v>
      </c>
      <c r="I36" s="365" t="str">
        <f t="shared" si="1"/>
        <v>FEIL</v>
      </c>
      <c r="N36" s="354" t="s">
        <v>142</v>
      </c>
      <c r="O36" s="348" t="b">
        <f t="shared" si="2"/>
        <v>0</v>
      </c>
      <c r="R36" s="981" t="s">
        <v>735</v>
      </c>
      <c r="S36" s="1304"/>
      <c r="T36" s="990" t="s">
        <v>610</v>
      </c>
      <c r="U36" s="1048">
        <v>1</v>
      </c>
      <c r="V36" s="1059"/>
      <c r="W36" s="1045"/>
      <c r="AE36" s="981">
        <v>29</v>
      </c>
    </row>
    <row r="37" spans="1:31" ht="15.75" customHeight="1" x14ac:dyDescent="0.25">
      <c r="A37" t="s">
        <v>729</v>
      </c>
      <c r="B37" s="367" t="s">
        <v>694</v>
      </c>
      <c r="N37" s="354" t="s">
        <v>143</v>
      </c>
      <c r="O37" s="348" t="b">
        <f t="shared" si="2"/>
        <v>0</v>
      </c>
      <c r="R37" s="981" t="s">
        <v>736</v>
      </c>
      <c r="S37" s="1304"/>
      <c r="T37" s="989" t="s">
        <v>611</v>
      </c>
      <c r="U37" s="1048">
        <v>2</v>
      </c>
      <c r="V37" s="1059" t="s">
        <v>348</v>
      </c>
      <c r="W37" s="1045"/>
      <c r="AE37" s="981">
        <v>30</v>
      </c>
    </row>
    <row r="38" spans="1:31" ht="15.75" customHeight="1" x14ac:dyDescent="0.25">
      <c r="A38" s="96" t="s">
        <v>730</v>
      </c>
      <c r="B38" s="163" t="s">
        <v>697</v>
      </c>
      <c r="C38" s="917" t="s">
        <v>604</v>
      </c>
      <c r="D38" s="50">
        <f>Poeng!T95</f>
        <v>0</v>
      </c>
      <c r="E38" s="49"/>
      <c r="F38" s="52">
        <f>Poeng!AB95</f>
        <v>0</v>
      </c>
      <c r="H38" s="212">
        <f>SUMIF($R$7:$R$182,A38,$U$7:$U$182)</f>
        <v>3</v>
      </c>
      <c r="I38" s="365" t="str">
        <f t="shared" ref="I38:I74" si="3">IF(F38=H38,"OK","FEIL")</f>
        <v>FEIL</v>
      </c>
      <c r="N38" s="354" t="s">
        <v>144</v>
      </c>
      <c r="O38" s="348" t="b">
        <f t="shared" si="2"/>
        <v>0</v>
      </c>
      <c r="R38" s="981" t="s">
        <v>737</v>
      </c>
      <c r="S38" s="1305"/>
      <c r="T38" s="989" t="s">
        <v>612</v>
      </c>
      <c r="U38" s="1052">
        <v>1</v>
      </c>
      <c r="V38" s="1059" t="s">
        <v>348</v>
      </c>
      <c r="W38" s="1045"/>
      <c r="AE38" s="981">
        <v>31</v>
      </c>
    </row>
    <row r="39" spans="1:31" ht="15.75" thickBot="1" x14ac:dyDescent="0.3">
      <c r="A39" s="96" t="s">
        <v>731</v>
      </c>
      <c r="B39" s="163" t="s">
        <v>698</v>
      </c>
      <c r="C39" s="917" t="s">
        <v>605</v>
      </c>
      <c r="D39" s="50">
        <f>Poeng!T96</f>
        <v>0</v>
      </c>
      <c r="E39" s="49"/>
      <c r="F39" s="52">
        <f>Poeng!AB96</f>
        <v>0</v>
      </c>
      <c r="H39" s="212">
        <f t="shared" ref="H39:H71" si="4">SUMIF($R$7:$R$182,A39,$U$7:$U$182)</f>
        <v>1</v>
      </c>
      <c r="I39" s="365" t="str">
        <f t="shared" si="3"/>
        <v>FEIL</v>
      </c>
      <c r="N39" s="355" t="s">
        <v>145</v>
      </c>
      <c r="O39" s="348" t="b">
        <f t="shared" si="2"/>
        <v>0</v>
      </c>
      <c r="R39" s="981"/>
      <c r="S39" s="1303" t="s">
        <v>120</v>
      </c>
      <c r="T39" s="1030" t="s">
        <v>838</v>
      </c>
      <c r="U39" s="1056"/>
      <c r="V39" s="1031"/>
      <c r="W39" s="1045"/>
      <c r="AE39" s="981">
        <v>32</v>
      </c>
    </row>
    <row r="40" spans="1:31" ht="15.75" thickBot="1" x14ac:dyDescent="0.3">
      <c r="A40" s="96" t="s">
        <v>732</v>
      </c>
      <c r="B40" s="163" t="s">
        <v>696</v>
      </c>
      <c r="C40" s="917" t="s">
        <v>606</v>
      </c>
      <c r="D40" s="56">
        <f>Poeng!T97</f>
        <v>27</v>
      </c>
      <c r="E40" s="56"/>
      <c r="F40" s="56">
        <f>SUM(F29:F39)</f>
        <v>27</v>
      </c>
      <c r="H40" s="212">
        <f t="shared" si="4"/>
        <v>1</v>
      </c>
      <c r="I40" s="365" t="str">
        <f t="shared" si="3"/>
        <v>FEIL</v>
      </c>
      <c r="N40" s="350"/>
      <c r="O40" s="348" t="b">
        <f t="shared" si="2"/>
        <v>1</v>
      </c>
      <c r="R40" s="981" t="s">
        <v>738</v>
      </c>
      <c r="S40" s="1304"/>
      <c r="T40" s="990" t="s">
        <v>613</v>
      </c>
      <c r="U40" s="1048">
        <v>1</v>
      </c>
      <c r="V40" s="1059" t="s">
        <v>348</v>
      </c>
      <c r="W40" s="1045"/>
      <c r="AE40" s="981">
        <v>33</v>
      </c>
    </row>
    <row r="41" spans="1:31" ht="15.75" thickBot="1" x14ac:dyDescent="0.3">
      <c r="A41" s="96" t="s">
        <v>733</v>
      </c>
      <c r="B41" s="163" t="s">
        <v>695</v>
      </c>
      <c r="C41" s="917" t="s">
        <v>607</v>
      </c>
      <c r="D41" s="30"/>
      <c r="E41" s="30"/>
      <c r="H41" s="212">
        <f t="shared" si="4"/>
        <v>1</v>
      </c>
      <c r="I41" s="365" t="str">
        <f t="shared" si="3"/>
        <v>FEIL</v>
      </c>
      <c r="N41" s="351" t="s">
        <v>362</v>
      </c>
      <c r="O41" s="348" t="b">
        <f t="shared" si="2"/>
        <v>0</v>
      </c>
      <c r="R41" s="981" t="s">
        <v>739</v>
      </c>
      <c r="S41" s="1304"/>
      <c r="T41" s="989" t="s">
        <v>614</v>
      </c>
      <c r="U41" s="1048">
        <v>1</v>
      </c>
      <c r="V41" s="1059" t="s">
        <v>348</v>
      </c>
      <c r="W41" s="1045"/>
      <c r="AE41" s="981">
        <v>34</v>
      </c>
    </row>
    <row r="42" spans="1:31" ht="15.75" thickBot="1" x14ac:dyDescent="0.3">
      <c r="A42" s="96" t="s">
        <v>957</v>
      </c>
      <c r="B42" s="163" t="s">
        <v>910</v>
      </c>
      <c r="C42" s="917" t="s">
        <v>608</v>
      </c>
      <c r="D42" s="53"/>
      <c r="E42" s="53"/>
      <c r="F42" s="53"/>
      <c r="H42" s="212">
        <f t="shared" si="4"/>
        <v>1</v>
      </c>
      <c r="I42" s="365" t="str">
        <f t="shared" si="3"/>
        <v>FEIL</v>
      </c>
      <c r="N42" s="354" t="s">
        <v>148</v>
      </c>
      <c r="O42" s="348" t="b">
        <f t="shared" si="2"/>
        <v>0</v>
      </c>
      <c r="R42" s="981" t="s">
        <v>740</v>
      </c>
      <c r="S42" s="1305"/>
      <c r="T42" s="989" t="s">
        <v>839</v>
      </c>
      <c r="U42" s="1048">
        <v>1</v>
      </c>
      <c r="V42" s="1059" t="s">
        <v>348</v>
      </c>
      <c r="W42" s="1045"/>
      <c r="AE42" s="981">
        <v>35</v>
      </c>
    </row>
    <row r="43" spans="1:31" x14ac:dyDescent="0.25">
      <c r="A43" s="137" t="s">
        <v>119</v>
      </c>
      <c r="B43" s="834" t="s">
        <v>119</v>
      </c>
      <c r="C43" s="832" t="s">
        <v>113</v>
      </c>
      <c r="D43" s="50">
        <f>Poeng!T100</f>
        <v>3</v>
      </c>
      <c r="E43" s="49"/>
      <c r="F43" s="52">
        <f>Poeng!AB100</f>
        <v>3</v>
      </c>
      <c r="H43" s="961">
        <f t="shared" si="4"/>
        <v>0</v>
      </c>
      <c r="I43" s="365" t="str">
        <f t="shared" si="3"/>
        <v>FEIL</v>
      </c>
      <c r="N43" s="354" t="s">
        <v>149</v>
      </c>
      <c r="O43" s="348" t="b">
        <f t="shared" si="2"/>
        <v>0</v>
      </c>
      <c r="R43" s="981" t="s">
        <v>742</v>
      </c>
      <c r="S43" s="991" t="s">
        <v>122</v>
      </c>
      <c r="T43" s="994" t="s">
        <v>617</v>
      </c>
      <c r="U43" s="1050">
        <v>3</v>
      </c>
      <c r="V43" s="1059" t="s">
        <v>348</v>
      </c>
      <c r="W43" s="1045"/>
      <c r="AE43" s="981">
        <v>36</v>
      </c>
    </row>
    <row r="44" spans="1:31" ht="15.75" customHeight="1" x14ac:dyDescent="0.25">
      <c r="A44" s="96"/>
      <c r="B44" s="163" t="s">
        <v>694</v>
      </c>
      <c r="C44" s="940" t="s">
        <v>609</v>
      </c>
      <c r="D44" s="50">
        <f>Poeng!T103</f>
        <v>10</v>
      </c>
      <c r="E44" s="49"/>
      <c r="F44" s="52">
        <f>Poeng!AB103</f>
        <v>10</v>
      </c>
      <c r="H44" s="212">
        <f t="shared" si="4"/>
        <v>0</v>
      </c>
      <c r="I44" s="365" t="str">
        <f t="shared" si="3"/>
        <v>FEIL</v>
      </c>
      <c r="N44" s="354" t="s">
        <v>363</v>
      </c>
      <c r="O44" s="348" t="b">
        <f t="shared" si="2"/>
        <v>0</v>
      </c>
      <c r="R44" s="981"/>
      <c r="S44" s="1294" t="s">
        <v>123</v>
      </c>
      <c r="T44" s="1030" t="s">
        <v>840</v>
      </c>
      <c r="U44" s="1056"/>
      <c r="V44" s="1031"/>
      <c r="W44" s="1045"/>
      <c r="AE44" s="981">
        <v>37</v>
      </c>
    </row>
    <row r="45" spans="1:31" ht="15.75" customHeight="1" x14ac:dyDescent="0.25">
      <c r="A45" s="96" t="s">
        <v>735</v>
      </c>
      <c r="B45" s="163" t="s">
        <v>697</v>
      </c>
      <c r="C45" s="917" t="s">
        <v>610</v>
      </c>
      <c r="D45" s="67">
        <f>Poeng!T106</f>
        <v>0</v>
      </c>
      <c r="E45" s="49"/>
      <c r="F45" s="52">
        <f>Poeng!AB106</f>
        <v>0</v>
      </c>
      <c r="H45" s="212">
        <f t="shared" si="4"/>
        <v>1</v>
      </c>
      <c r="I45" s="365" t="str">
        <f t="shared" si="3"/>
        <v>FEIL</v>
      </c>
      <c r="N45" s="354" t="s">
        <v>364</v>
      </c>
      <c r="O45" s="348" t="b">
        <f t="shared" si="2"/>
        <v>0</v>
      </c>
      <c r="R45" s="981" t="s">
        <v>743</v>
      </c>
      <c r="S45" s="1295"/>
      <c r="T45" s="990" t="s">
        <v>841</v>
      </c>
      <c r="U45" s="1050">
        <v>2</v>
      </c>
      <c r="V45" s="1061" t="s">
        <v>348</v>
      </c>
      <c r="W45" s="1045"/>
      <c r="AE45" s="981">
        <v>38</v>
      </c>
    </row>
    <row r="46" spans="1:31" ht="15.75" customHeight="1" x14ac:dyDescent="0.25">
      <c r="A46" s="96" t="s">
        <v>736</v>
      </c>
      <c r="B46" s="166" t="s">
        <v>698</v>
      </c>
      <c r="C46" s="917" t="s">
        <v>611</v>
      </c>
      <c r="D46" s="67">
        <f>Poeng!T107</f>
        <v>0</v>
      </c>
      <c r="E46" s="49"/>
      <c r="F46" s="52">
        <f>Poeng!AB107</f>
        <v>0</v>
      </c>
      <c r="H46" s="212">
        <f t="shared" si="4"/>
        <v>2</v>
      </c>
      <c r="I46" s="365" t="str">
        <f t="shared" si="3"/>
        <v>FEIL</v>
      </c>
      <c r="N46" s="354" t="s">
        <v>151</v>
      </c>
      <c r="O46" s="348" t="b">
        <f t="shared" si="2"/>
        <v>0</v>
      </c>
      <c r="R46" s="981" t="s">
        <v>744</v>
      </c>
      <c r="S46" s="1296"/>
      <c r="T46" s="989" t="s">
        <v>842</v>
      </c>
      <c r="U46" s="1050">
        <v>1</v>
      </c>
      <c r="V46" s="1061" t="s">
        <v>348</v>
      </c>
      <c r="W46" s="1045"/>
      <c r="AE46" s="981">
        <v>39</v>
      </c>
    </row>
    <row r="47" spans="1:31" s="30" customFormat="1" ht="15.75" customHeight="1" x14ac:dyDescent="0.25">
      <c r="A47" s="96" t="s">
        <v>737</v>
      </c>
      <c r="B47" s="166" t="s">
        <v>696</v>
      </c>
      <c r="C47" s="917" t="s">
        <v>612</v>
      </c>
      <c r="D47" s="67">
        <f>Poeng!T108</f>
        <v>0</v>
      </c>
      <c r="E47" s="49"/>
      <c r="F47" s="52">
        <f>Poeng!AB108</f>
        <v>0</v>
      </c>
      <c r="G47"/>
      <c r="H47" s="212">
        <f t="shared" si="4"/>
        <v>1</v>
      </c>
      <c r="I47" s="365" t="str">
        <f t="shared" si="3"/>
        <v>FEIL</v>
      </c>
      <c r="J47"/>
      <c r="K47"/>
      <c r="N47" s="354" t="s">
        <v>152</v>
      </c>
      <c r="O47" s="348" t="b">
        <f t="shared" si="2"/>
        <v>0</v>
      </c>
      <c r="Q47" s="981"/>
      <c r="R47" s="981" t="s">
        <v>745</v>
      </c>
      <c r="S47" s="991" t="s">
        <v>125</v>
      </c>
      <c r="T47" s="994" t="s">
        <v>354</v>
      </c>
      <c r="U47" s="1048" t="s">
        <v>236</v>
      </c>
      <c r="V47" s="1059" t="s">
        <v>348</v>
      </c>
      <c r="W47" s="1045"/>
      <c r="AE47" s="981">
        <v>40</v>
      </c>
    </row>
    <row r="48" spans="1:31" ht="15.75" thickBot="1" x14ac:dyDescent="0.3">
      <c r="A48" s="137" t="s">
        <v>120</v>
      </c>
      <c r="B48" s="834" t="s">
        <v>120</v>
      </c>
      <c r="C48" s="832" t="s">
        <v>114</v>
      </c>
      <c r="D48" s="67">
        <f>Poeng!T109</f>
        <v>0</v>
      </c>
      <c r="E48" s="69"/>
      <c r="F48" s="52">
        <f>Poeng!AB109</f>
        <v>0</v>
      </c>
      <c r="G48" s="30"/>
      <c r="H48" s="961">
        <f t="shared" si="4"/>
        <v>0</v>
      </c>
      <c r="I48" s="365" t="str">
        <f t="shared" si="3"/>
        <v>OK</v>
      </c>
      <c r="J48" s="30"/>
      <c r="K48" s="30"/>
      <c r="N48" s="354" t="s">
        <v>315</v>
      </c>
      <c r="O48" s="348" t="b">
        <f t="shared" si="2"/>
        <v>0</v>
      </c>
      <c r="R48" s="981"/>
      <c r="S48" s="987"/>
      <c r="T48" s="985"/>
      <c r="U48" s="1046"/>
      <c r="V48" s="1047"/>
      <c r="W48" s="1045"/>
      <c r="AE48" s="981">
        <v>41</v>
      </c>
    </row>
    <row r="49" spans="1:31" ht="15.75" thickBot="1" x14ac:dyDescent="0.3">
      <c r="A49" s="96" t="s">
        <v>738</v>
      </c>
      <c r="B49" s="163" t="s">
        <v>694</v>
      </c>
      <c r="C49" s="917" t="s">
        <v>613</v>
      </c>
      <c r="D49" s="56">
        <f>Poeng!T110</f>
        <v>13</v>
      </c>
      <c r="E49" s="56"/>
      <c r="F49" s="56">
        <f>SUM(F43:F48)</f>
        <v>13</v>
      </c>
      <c r="H49" s="212">
        <f t="shared" si="4"/>
        <v>1</v>
      </c>
      <c r="I49" s="365" t="str">
        <f t="shared" si="3"/>
        <v>FEIL</v>
      </c>
      <c r="N49" s="350"/>
      <c r="O49" s="348" t="b">
        <f t="shared" si="2"/>
        <v>0</v>
      </c>
      <c r="R49" s="981"/>
      <c r="S49" s="986" t="s">
        <v>355</v>
      </c>
      <c r="T49" s="985"/>
      <c r="U49" s="1046"/>
      <c r="V49" s="1047"/>
      <c r="W49" s="1045"/>
      <c r="AE49" s="981">
        <v>42</v>
      </c>
    </row>
    <row r="50" spans="1:31" ht="15.75" thickBot="1" x14ac:dyDescent="0.3">
      <c r="A50" s="96" t="s">
        <v>739</v>
      </c>
      <c r="B50" s="163" t="s">
        <v>697</v>
      </c>
      <c r="C50" s="917" t="s">
        <v>614</v>
      </c>
      <c r="D50" s="30"/>
      <c r="E50" s="30"/>
      <c r="H50" s="212">
        <f t="shared" si="4"/>
        <v>1</v>
      </c>
      <c r="I50" s="365" t="str">
        <f t="shared" si="3"/>
        <v>FEIL</v>
      </c>
      <c r="N50" s="351" t="s">
        <v>365</v>
      </c>
      <c r="O50" s="348" t="b">
        <f t="shared" si="2"/>
        <v>0</v>
      </c>
      <c r="R50" s="981"/>
      <c r="S50" s="1294" t="s">
        <v>136</v>
      </c>
      <c r="T50" s="1030" t="s">
        <v>843</v>
      </c>
      <c r="U50" s="1056"/>
      <c r="V50" s="1031"/>
      <c r="W50" s="1045"/>
      <c r="AE50" s="981">
        <v>43</v>
      </c>
    </row>
    <row r="51" spans="1:31" ht="15.75" thickBot="1" x14ac:dyDescent="0.3">
      <c r="A51" s="96" t="s">
        <v>740</v>
      </c>
      <c r="B51" s="166" t="s">
        <v>698</v>
      </c>
      <c r="C51" s="917" t="s">
        <v>615</v>
      </c>
      <c r="D51" s="53"/>
      <c r="E51" s="53"/>
      <c r="F51" s="53"/>
      <c r="H51" s="212">
        <f t="shared" si="4"/>
        <v>1</v>
      </c>
      <c r="I51" s="365" t="str">
        <f t="shared" si="3"/>
        <v>FEIL</v>
      </c>
      <c r="N51" s="354" t="s">
        <v>170</v>
      </c>
      <c r="O51" s="348" t="b">
        <f t="shared" si="2"/>
        <v>0</v>
      </c>
      <c r="R51" s="981" t="s">
        <v>746</v>
      </c>
      <c r="S51" s="1295"/>
      <c r="T51" s="990" t="s">
        <v>621</v>
      </c>
      <c r="U51" s="1048" t="s">
        <v>236</v>
      </c>
      <c r="V51" s="1058" t="s">
        <v>348</v>
      </c>
      <c r="W51" s="1045"/>
      <c r="AE51" s="981">
        <v>44</v>
      </c>
    </row>
    <row r="52" spans="1:31" x14ac:dyDescent="0.25">
      <c r="A52" s="96"/>
      <c r="B52" s="701" t="s">
        <v>121</v>
      </c>
      <c r="C52" s="702"/>
      <c r="D52" s="52">
        <f>Poeng!T113</f>
        <v>5</v>
      </c>
      <c r="E52" s="51"/>
      <c r="F52" s="52">
        <f>Poeng!AB113</f>
        <v>5</v>
      </c>
      <c r="H52" s="962">
        <f t="shared" si="4"/>
        <v>0</v>
      </c>
      <c r="I52" s="365" t="str">
        <f t="shared" si="3"/>
        <v>FEIL</v>
      </c>
      <c r="N52" s="354" t="s">
        <v>171</v>
      </c>
      <c r="O52" s="348" t="b">
        <f t="shared" si="2"/>
        <v>0</v>
      </c>
      <c r="R52" s="981" t="s">
        <v>747</v>
      </c>
      <c r="S52" s="1295"/>
      <c r="T52" s="989" t="s">
        <v>622</v>
      </c>
      <c r="U52" s="1048">
        <v>1</v>
      </c>
      <c r="V52" s="1058" t="s">
        <v>348</v>
      </c>
      <c r="W52" s="1045"/>
      <c r="AE52" s="981">
        <v>45</v>
      </c>
    </row>
    <row r="53" spans="1:31" x14ac:dyDescent="0.25">
      <c r="A53" s="137" t="s">
        <v>122</v>
      </c>
      <c r="B53" s="834" t="s">
        <v>122</v>
      </c>
      <c r="C53" s="832" t="s">
        <v>128</v>
      </c>
      <c r="D53" s="50">
        <f>Poeng!T115</f>
        <v>1</v>
      </c>
      <c r="E53" s="49"/>
      <c r="F53" s="52">
        <f>Poeng!AB115</f>
        <v>1</v>
      </c>
      <c r="H53" s="961">
        <f t="shared" si="4"/>
        <v>0</v>
      </c>
      <c r="I53" s="365" t="str">
        <f t="shared" si="3"/>
        <v>FEIL</v>
      </c>
      <c r="N53" s="354" t="s">
        <v>172</v>
      </c>
      <c r="O53" s="348" t="b">
        <f t="shared" si="2"/>
        <v>0</v>
      </c>
      <c r="R53" s="981" t="s">
        <v>748</v>
      </c>
      <c r="S53" s="1295"/>
      <c r="T53" s="989" t="s">
        <v>623</v>
      </c>
      <c r="U53" s="1048">
        <v>22</v>
      </c>
      <c r="V53" s="1058" t="s">
        <v>348</v>
      </c>
      <c r="W53" s="1045"/>
      <c r="AE53" s="981">
        <v>46</v>
      </c>
    </row>
    <row r="54" spans="1:31" x14ac:dyDescent="0.25">
      <c r="A54" s="96"/>
      <c r="B54" s="163" t="s">
        <v>694</v>
      </c>
      <c r="C54" s="940" t="s">
        <v>616</v>
      </c>
      <c r="D54" s="50">
        <f>Poeng!T117</f>
        <v>2</v>
      </c>
      <c r="E54" s="49"/>
      <c r="F54" s="52">
        <f>Poeng!AB117</f>
        <v>2</v>
      </c>
      <c r="H54" s="212">
        <f t="shared" si="4"/>
        <v>0</v>
      </c>
      <c r="I54" s="365" t="str">
        <f t="shared" si="3"/>
        <v>FEIL</v>
      </c>
      <c r="N54" s="354" t="s">
        <v>173</v>
      </c>
      <c r="O54" s="348" t="b">
        <f t="shared" si="2"/>
        <v>0</v>
      </c>
      <c r="R54" s="981" t="s">
        <v>749</v>
      </c>
      <c r="S54" s="1295"/>
      <c r="T54" s="989" t="s">
        <v>624</v>
      </c>
      <c r="U54" s="1048">
        <v>1</v>
      </c>
      <c r="V54" s="1058" t="s">
        <v>348</v>
      </c>
      <c r="W54" s="1045"/>
      <c r="AE54" s="981">
        <v>47</v>
      </c>
    </row>
    <row r="55" spans="1:31" ht="15.75" thickBot="1" x14ac:dyDescent="0.3">
      <c r="A55" s="96" t="s">
        <v>742</v>
      </c>
      <c r="B55" s="163" t="s">
        <v>697</v>
      </c>
      <c r="C55" s="917" t="s">
        <v>617</v>
      </c>
      <c r="D55" s="50">
        <f>Poeng!T121</f>
        <v>1</v>
      </c>
      <c r="E55" s="49"/>
      <c r="F55" s="52">
        <f>Poeng!AB121</f>
        <v>1</v>
      </c>
      <c r="H55" s="212">
        <f t="shared" si="4"/>
        <v>3</v>
      </c>
      <c r="I55" s="365" t="str">
        <f t="shared" si="3"/>
        <v>FEIL</v>
      </c>
      <c r="N55" s="350"/>
      <c r="O55" s="348" t="b">
        <f t="shared" si="2"/>
        <v>1</v>
      </c>
      <c r="R55" s="981" t="s">
        <v>750</v>
      </c>
      <c r="S55" s="1296"/>
      <c r="T55" s="989" t="s">
        <v>625</v>
      </c>
      <c r="U55" s="1048" t="s">
        <v>236</v>
      </c>
      <c r="V55" s="1058" t="s">
        <v>348</v>
      </c>
      <c r="W55" s="1045"/>
      <c r="AE55" s="981">
        <v>48</v>
      </c>
    </row>
    <row r="56" spans="1:31" ht="15.75" thickBot="1" x14ac:dyDescent="0.3">
      <c r="A56" s="137" t="s">
        <v>123</v>
      </c>
      <c r="B56" s="834" t="s">
        <v>123</v>
      </c>
      <c r="C56" s="832" t="s">
        <v>115</v>
      </c>
      <c r="D56" s="56">
        <f>Poeng!T123</f>
        <v>9</v>
      </c>
      <c r="E56" s="56"/>
      <c r="F56" s="56">
        <f>SUM(F52:F55)</f>
        <v>9</v>
      </c>
      <c r="H56" s="961">
        <f t="shared" si="4"/>
        <v>0</v>
      </c>
      <c r="I56" s="365" t="str">
        <f t="shared" si="3"/>
        <v>FEIL</v>
      </c>
      <c r="N56" s="351" t="s">
        <v>370</v>
      </c>
      <c r="O56" s="348" t="b">
        <f t="shared" si="2"/>
        <v>0</v>
      </c>
      <c r="R56" s="981"/>
      <c r="S56" s="1294" t="s">
        <v>137</v>
      </c>
      <c r="T56" s="1032" t="s">
        <v>844</v>
      </c>
      <c r="U56" s="1033"/>
      <c r="V56" s="1034"/>
      <c r="W56" s="1045"/>
      <c r="AE56" s="981">
        <v>49</v>
      </c>
    </row>
    <row r="57" spans="1:31" ht="15.75" thickBot="1" x14ac:dyDescent="0.3">
      <c r="A57" s="96" t="s">
        <v>743</v>
      </c>
      <c r="B57" s="163" t="s">
        <v>694</v>
      </c>
      <c r="C57" s="917" t="s">
        <v>618</v>
      </c>
      <c r="D57" s="30"/>
      <c r="E57" s="30"/>
      <c r="H57" s="212">
        <f t="shared" si="4"/>
        <v>2</v>
      </c>
      <c r="I57" s="365" t="str">
        <f t="shared" si="3"/>
        <v>FEIL</v>
      </c>
      <c r="N57" s="354" t="s">
        <v>174</v>
      </c>
      <c r="O57" s="348" t="b">
        <f t="shared" si="2"/>
        <v>0</v>
      </c>
      <c r="R57" s="981" t="s">
        <v>254</v>
      </c>
      <c r="S57" s="1295"/>
      <c r="T57" s="989" t="s">
        <v>626</v>
      </c>
      <c r="U57" s="1048">
        <v>1</v>
      </c>
      <c r="V57" s="1062" t="s">
        <v>348</v>
      </c>
      <c r="W57" s="1045"/>
      <c r="AE57" s="981">
        <v>50</v>
      </c>
    </row>
    <row r="58" spans="1:31" ht="15.75" thickBot="1" x14ac:dyDescent="0.3">
      <c r="A58" s="96" t="s">
        <v>744</v>
      </c>
      <c r="B58" s="163" t="s">
        <v>697</v>
      </c>
      <c r="C58" s="917" t="s">
        <v>619</v>
      </c>
      <c r="D58" s="53"/>
      <c r="E58" s="53"/>
      <c r="F58" s="53"/>
      <c r="H58" s="212">
        <f t="shared" si="4"/>
        <v>1</v>
      </c>
      <c r="I58" s="365" t="str">
        <f t="shared" si="3"/>
        <v>FEIL</v>
      </c>
      <c r="N58" s="354" t="s">
        <v>175</v>
      </c>
      <c r="O58" s="348" t="b">
        <f t="shared" si="2"/>
        <v>0</v>
      </c>
      <c r="R58" s="981" t="s">
        <v>356</v>
      </c>
      <c r="S58" s="1295"/>
      <c r="T58" s="989" t="s">
        <v>627</v>
      </c>
      <c r="U58" s="1048">
        <v>1</v>
      </c>
      <c r="V58" s="1062" t="s">
        <v>348</v>
      </c>
      <c r="W58" s="1045"/>
      <c r="AE58" s="981">
        <v>51</v>
      </c>
    </row>
    <row r="59" spans="1:31" s="367" customFormat="1" x14ac:dyDescent="0.25">
      <c r="A59" s="96"/>
      <c r="B59" s="701" t="s">
        <v>124</v>
      </c>
      <c r="C59" s="700"/>
      <c r="D59" s="52">
        <f>Poeng!T126</f>
        <v>5</v>
      </c>
      <c r="E59" s="51"/>
      <c r="F59" s="52">
        <f>Poeng!AB126</f>
        <v>5</v>
      </c>
      <c r="G59"/>
      <c r="H59" s="962">
        <f t="shared" si="4"/>
        <v>0</v>
      </c>
      <c r="I59" s="365" t="str">
        <f t="shared" si="3"/>
        <v>FEIL</v>
      </c>
      <c r="J59"/>
      <c r="K59"/>
      <c r="N59" s="369"/>
      <c r="Q59" s="981"/>
      <c r="R59" s="981" t="s">
        <v>751</v>
      </c>
      <c r="S59" s="1296"/>
      <c r="T59" s="989" t="s">
        <v>628</v>
      </c>
      <c r="U59" s="1048" t="s">
        <v>236</v>
      </c>
      <c r="V59" s="1062" t="s">
        <v>348</v>
      </c>
      <c r="W59" s="1045"/>
      <c r="AE59" s="981">
        <v>52</v>
      </c>
    </row>
    <row r="60" spans="1:31" x14ac:dyDescent="0.25">
      <c r="A60" s="137" t="s">
        <v>125</v>
      </c>
      <c r="B60" s="834" t="s">
        <v>125</v>
      </c>
      <c r="C60" s="832" t="s">
        <v>117</v>
      </c>
      <c r="D60" s="52">
        <f>Poeng!T130</f>
        <v>3</v>
      </c>
      <c r="E60" s="51"/>
      <c r="F60" s="52">
        <f>Poeng!AB130</f>
        <v>3</v>
      </c>
      <c r="G60" s="367"/>
      <c r="H60" s="961">
        <f t="shared" si="4"/>
        <v>0</v>
      </c>
      <c r="I60" s="365" t="str">
        <f t="shared" si="3"/>
        <v>FEIL</v>
      </c>
      <c r="J60" s="367"/>
      <c r="K60" s="367"/>
      <c r="N60" s="354" t="s">
        <v>176</v>
      </c>
      <c r="O60" s="348" t="b">
        <f t="shared" si="2"/>
        <v>0</v>
      </c>
      <c r="R60" s="981" t="s">
        <v>752</v>
      </c>
      <c r="S60" s="991" t="s">
        <v>138</v>
      </c>
      <c r="T60" s="999" t="s">
        <v>357</v>
      </c>
      <c r="U60" s="1048">
        <v>1</v>
      </c>
      <c r="V60" s="1062" t="s">
        <v>348</v>
      </c>
      <c r="W60" s="1045"/>
      <c r="AE60" s="981">
        <v>53</v>
      </c>
    </row>
    <row r="61" spans="1:31" x14ac:dyDescent="0.25">
      <c r="A61" s="96" t="s">
        <v>745</v>
      </c>
      <c r="B61" s="192" t="s">
        <v>694</v>
      </c>
      <c r="C61" s="917" t="s">
        <v>620</v>
      </c>
      <c r="D61" s="52">
        <f>Poeng!T134</f>
        <v>3</v>
      </c>
      <c r="E61" s="49"/>
      <c r="F61" s="52">
        <f>Poeng!AB134</f>
        <v>3</v>
      </c>
      <c r="H61" s="212">
        <f t="shared" si="4"/>
        <v>0</v>
      </c>
      <c r="I61" s="365" t="str">
        <f t="shared" si="3"/>
        <v>FEIL</v>
      </c>
      <c r="N61" s="350"/>
      <c r="O61" s="348" t="b">
        <f t="shared" si="2"/>
        <v>0</v>
      </c>
      <c r="R61" s="981"/>
      <c r="S61" s="1294" t="s">
        <v>140</v>
      </c>
      <c r="T61" s="1027" t="s">
        <v>358</v>
      </c>
      <c r="U61" s="1055"/>
      <c r="V61" s="1029"/>
      <c r="W61" s="1045"/>
      <c r="AE61" s="981">
        <v>54</v>
      </c>
    </row>
    <row r="62" spans="1:31" s="367" customFormat="1" ht="15.75" thickBot="1" x14ac:dyDescent="0.3">
      <c r="A62" s="96"/>
      <c r="B62" s="703" t="s">
        <v>126</v>
      </c>
      <c r="C62" s="704"/>
      <c r="D62" s="52">
        <f>Poeng!T138</f>
        <v>4</v>
      </c>
      <c r="E62" s="49"/>
      <c r="F62" s="52">
        <f>Poeng!AB138</f>
        <v>4</v>
      </c>
      <c r="G62"/>
      <c r="H62" s="962">
        <f t="shared" si="4"/>
        <v>0</v>
      </c>
      <c r="I62" s="365" t="str">
        <f t="shared" si="3"/>
        <v>FEIL</v>
      </c>
      <c r="J62"/>
      <c r="K62"/>
      <c r="N62" s="368"/>
      <c r="Q62" s="981"/>
      <c r="R62" s="981" t="s">
        <v>754</v>
      </c>
      <c r="S62" s="1295"/>
      <c r="T62" s="989" t="s">
        <v>631</v>
      </c>
      <c r="U62" s="1051" t="s">
        <v>236</v>
      </c>
      <c r="V62" s="1063" t="s">
        <v>353</v>
      </c>
      <c r="W62" s="1045"/>
      <c r="AE62" s="981">
        <v>55</v>
      </c>
    </row>
    <row r="63" spans="1:31" ht="15.75" thickBot="1" x14ac:dyDescent="0.3">
      <c r="A63" s="96" t="s">
        <v>884</v>
      </c>
      <c r="B63" s="201"/>
      <c r="C63" s="202" t="s">
        <v>215</v>
      </c>
      <c r="D63" s="52">
        <f>Poeng!T144</f>
        <v>3</v>
      </c>
      <c r="E63" s="49"/>
      <c r="F63" s="52">
        <f>Poeng!AB144</f>
        <v>3</v>
      </c>
      <c r="G63" s="367"/>
      <c r="H63" s="226">
        <f t="shared" si="4"/>
        <v>0</v>
      </c>
      <c r="I63" s="365" t="str">
        <f t="shared" si="3"/>
        <v>FEIL</v>
      </c>
      <c r="J63" s="367"/>
      <c r="K63" s="367"/>
      <c r="N63" s="351" t="s">
        <v>372</v>
      </c>
      <c r="O63" s="348" t="b">
        <f t="shared" si="2"/>
        <v>0</v>
      </c>
      <c r="R63" s="981" t="s">
        <v>755</v>
      </c>
      <c r="S63" s="1296"/>
      <c r="T63" s="989" t="s">
        <v>632</v>
      </c>
      <c r="U63" s="1051" t="s">
        <v>236</v>
      </c>
      <c r="V63" s="1063" t="s">
        <v>353</v>
      </c>
      <c r="W63" s="1045"/>
      <c r="AE63" s="981">
        <v>56</v>
      </c>
    </row>
    <row r="64" spans="1:31" ht="15.75" thickBot="1" x14ac:dyDescent="0.3">
      <c r="A64" s="96"/>
      <c r="B64" s="96"/>
      <c r="C64" s="96"/>
      <c r="D64" s="52">
        <f>Poeng!T148</f>
        <v>3</v>
      </c>
      <c r="E64" s="49"/>
      <c r="F64" s="52">
        <f>Poeng!AB148</f>
        <v>3</v>
      </c>
      <c r="H64" s="96">
        <f t="shared" si="4"/>
        <v>0</v>
      </c>
      <c r="I64" s="365" t="str">
        <f t="shared" si="3"/>
        <v>FEIL</v>
      </c>
      <c r="N64" s="354" t="s">
        <v>178</v>
      </c>
      <c r="O64" s="348" t="b">
        <f t="shared" si="2"/>
        <v>0</v>
      </c>
      <c r="R64" s="981"/>
      <c r="S64" s="1294" t="s">
        <v>141</v>
      </c>
      <c r="T64" s="1027" t="s">
        <v>359</v>
      </c>
      <c r="U64" s="1055"/>
      <c r="V64" s="1029"/>
      <c r="W64" s="1045"/>
      <c r="AE64" s="981">
        <v>57</v>
      </c>
    </row>
    <row r="65" spans="1:31" ht="15.75" thickBot="1" x14ac:dyDescent="0.3">
      <c r="A65" s="96"/>
      <c r="B65" s="145"/>
      <c r="C65" s="146" t="s">
        <v>67</v>
      </c>
      <c r="D65" s="56">
        <f>Poeng!T152</f>
        <v>21</v>
      </c>
      <c r="E65" s="56"/>
      <c r="F65" s="56">
        <f>SUM(F59:F64)</f>
        <v>21</v>
      </c>
      <c r="H65" s="138">
        <f t="shared" si="4"/>
        <v>0</v>
      </c>
      <c r="I65" s="365" t="str">
        <f t="shared" si="3"/>
        <v>FEIL</v>
      </c>
      <c r="N65" s="354" t="s">
        <v>179</v>
      </c>
      <c r="O65" s="348" t="b">
        <f t="shared" si="2"/>
        <v>0</v>
      </c>
      <c r="R65" s="981" t="s">
        <v>756</v>
      </c>
      <c r="S65" s="1295"/>
      <c r="T65" s="989" t="s">
        <v>633</v>
      </c>
      <c r="U65" s="1048">
        <v>1</v>
      </c>
      <c r="V65" s="1058" t="s">
        <v>348</v>
      </c>
      <c r="W65" s="1045"/>
      <c r="AE65" s="981">
        <v>58</v>
      </c>
    </row>
    <row r="66" spans="1:31" ht="15.75" thickBot="1" x14ac:dyDescent="0.3">
      <c r="A66" s="137" t="s">
        <v>136</v>
      </c>
      <c r="B66" s="833" t="s">
        <v>136</v>
      </c>
      <c r="C66" s="831" t="s">
        <v>129</v>
      </c>
      <c r="D66" s="30"/>
      <c r="E66" s="30"/>
      <c r="H66" s="150">
        <f t="shared" si="4"/>
        <v>0</v>
      </c>
      <c r="I66" s="365" t="str">
        <f t="shared" si="3"/>
        <v>OK</v>
      </c>
      <c r="N66" s="354" t="s">
        <v>374</v>
      </c>
      <c r="O66" s="348" t="b">
        <f t="shared" si="2"/>
        <v>0</v>
      </c>
      <c r="R66" s="981" t="s">
        <v>757</v>
      </c>
      <c r="S66" s="1296"/>
      <c r="T66" s="989" t="s">
        <v>634</v>
      </c>
      <c r="U66" s="1048">
        <v>2</v>
      </c>
      <c r="V66" s="1058" t="s">
        <v>348</v>
      </c>
      <c r="W66" s="1045"/>
      <c r="AE66" s="981">
        <v>59</v>
      </c>
    </row>
    <row r="67" spans="1:31" ht="15.75" thickBot="1" x14ac:dyDescent="0.3">
      <c r="A67" s="96" t="s">
        <v>746</v>
      </c>
      <c r="B67" s="163" t="s">
        <v>694</v>
      </c>
      <c r="C67" s="917" t="s">
        <v>621</v>
      </c>
      <c r="D67" s="53"/>
      <c r="E67" s="53"/>
      <c r="F67" s="53"/>
      <c r="H67" s="221">
        <f t="shared" si="4"/>
        <v>0</v>
      </c>
      <c r="I67" s="365" t="str">
        <f t="shared" si="3"/>
        <v>OK</v>
      </c>
      <c r="N67" s="354" t="s">
        <v>376</v>
      </c>
      <c r="O67" s="348" t="b">
        <f t="shared" si="2"/>
        <v>0</v>
      </c>
      <c r="R67" s="981"/>
      <c r="S67" s="1294" t="s">
        <v>142</v>
      </c>
      <c r="T67" s="1027" t="s">
        <v>360</v>
      </c>
      <c r="U67" s="1055"/>
      <c r="V67" s="1029"/>
      <c r="W67" s="1045"/>
      <c r="AE67" s="981">
        <v>60</v>
      </c>
    </row>
    <row r="68" spans="1:31" ht="15" customHeight="1" x14ac:dyDescent="0.25">
      <c r="A68" s="96" t="s">
        <v>747</v>
      </c>
      <c r="B68" s="163" t="s">
        <v>697</v>
      </c>
      <c r="C68" s="917" t="s">
        <v>622</v>
      </c>
      <c r="D68" s="52">
        <f>Poeng!T155</f>
        <v>5</v>
      </c>
      <c r="E68" s="51"/>
      <c r="F68" s="52">
        <f>Poeng!AB155</f>
        <v>5</v>
      </c>
      <c r="H68" s="221">
        <f t="shared" si="4"/>
        <v>1</v>
      </c>
      <c r="I68" s="365" t="str">
        <f t="shared" si="3"/>
        <v>FEIL</v>
      </c>
      <c r="N68" s="354" t="s">
        <v>180</v>
      </c>
      <c r="O68" s="348" t="b">
        <f t="shared" si="2"/>
        <v>0</v>
      </c>
      <c r="R68" s="981" t="s">
        <v>758</v>
      </c>
      <c r="S68" s="1295"/>
      <c r="T68" s="989" t="s">
        <v>635</v>
      </c>
      <c r="U68" s="1048" t="s">
        <v>236</v>
      </c>
      <c r="V68" s="1058" t="s">
        <v>353</v>
      </c>
      <c r="W68" s="1045"/>
      <c r="AE68" s="981">
        <v>61</v>
      </c>
    </row>
    <row r="69" spans="1:31" x14ac:dyDescent="0.25">
      <c r="A69" s="96" t="s">
        <v>748</v>
      </c>
      <c r="B69" s="163" t="s">
        <v>698</v>
      </c>
      <c r="C69" s="917" t="s">
        <v>623</v>
      </c>
      <c r="D69" s="50">
        <f>Poeng!T159</f>
        <v>0</v>
      </c>
      <c r="E69" s="49"/>
      <c r="F69" s="52">
        <f>Poeng!AB159</f>
        <v>0</v>
      </c>
      <c r="H69" s="221">
        <f t="shared" si="4"/>
        <v>22</v>
      </c>
      <c r="I69" s="365" t="str">
        <f t="shared" si="3"/>
        <v>FEIL</v>
      </c>
      <c r="N69" s="350"/>
      <c r="O69" s="348" t="b">
        <f t="shared" si="2"/>
        <v>1</v>
      </c>
      <c r="R69" s="981" t="s">
        <v>759</v>
      </c>
      <c r="S69" s="1296"/>
      <c r="T69" s="989" t="s">
        <v>636</v>
      </c>
      <c r="U69" s="1048" t="s">
        <v>236</v>
      </c>
      <c r="V69" s="1058" t="s">
        <v>353</v>
      </c>
      <c r="W69" s="1045"/>
      <c r="AE69" s="981">
        <v>62</v>
      </c>
    </row>
    <row r="70" spans="1:31" x14ac:dyDescent="0.25">
      <c r="A70" s="96" t="s">
        <v>749</v>
      </c>
      <c r="B70" s="163" t="s">
        <v>696</v>
      </c>
      <c r="C70" s="917" t="s">
        <v>624</v>
      </c>
      <c r="D70" s="50">
        <f>Poeng!T160</f>
        <v>1</v>
      </c>
      <c r="E70" s="49"/>
      <c r="F70" s="52">
        <f>Poeng!AB160</f>
        <v>1</v>
      </c>
      <c r="H70" s="221">
        <f t="shared" si="4"/>
        <v>1</v>
      </c>
      <c r="I70" s="365" t="str">
        <f t="shared" si="3"/>
        <v>OK</v>
      </c>
      <c r="N70" s="351" t="s">
        <v>378</v>
      </c>
      <c r="O70" s="348" t="b">
        <f t="shared" si="2"/>
        <v>0</v>
      </c>
      <c r="R70" s="981" t="s">
        <v>760</v>
      </c>
      <c r="S70" s="991" t="s">
        <v>143</v>
      </c>
      <c r="T70" s="994" t="s">
        <v>361</v>
      </c>
      <c r="U70" s="1048" t="s">
        <v>236</v>
      </c>
      <c r="V70" s="1058" t="s">
        <v>348</v>
      </c>
      <c r="W70" s="1045"/>
      <c r="AE70" s="981">
        <v>63</v>
      </c>
    </row>
    <row r="71" spans="1:31" ht="15.75" thickBot="1" x14ac:dyDescent="0.3">
      <c r="A71" s="96" t="s">
        <v>750</v>
      </c>
      <c r="B71" s="163" t="s">
        <v>695</v>
      </c>
      <c r="C71" s="917" t="s">
        <v>625</v>
      </c>
      <c r="D71" s="50">
        <f>Poeng!T164</f>
        <v>1</v>
      </c>
      <c r="E71" s="49"/>
      <c r="F71" s="52">
        <f>Poeng!AB164</f>
        <v>1</v>
      </c>
      <c r="H71" s="221">
        <f t="shared" si="4"/>
        <v>0</v>
      </c>
      <c r="I71" s="365" t="str">
        <f t="shared" si="3"/>
        <v>FEIL</v>
      </c>
      <c r="N71" s="354" t="s">
        <v>181</v>
      </c>
      <c r="O71" s="348" t="b">
        <f t="shared" si="2"/>
        <v>0</v>
      </c>
      <c r="R71" s="981"/>
      <c r="S71" s="987"/>
      <c r="T71" s="985"/>
      <c r="U71" s="1046"/>
      <c r="V71" s="1047"/>
      <c r="W71" s="1045"/>
      <c r="AE71" s="981">
        <v>64</v>
      </c>
    </row>
    <row r="72" spans="1:31" ht="15.75" thickBot="1" x14ac:dyDescent="0.3">
      <c r="A72" s="137" t="s">
        <v>137</v>
      </c>
      <c r="B72" s="834" t="s">
        <v>137</v>
      </c>
      <c r="C72" s="832" t="s">
        <v>135</v>
      </c>
      <c r="D72" s="56">
        <f>Poeng!T166</f>
        <v>7</v>
      </c>
      <c r="E72" s="56"/>
      <c r="F72" s="56">
        <f>SUM(F68:F71)</f>
        <v>7</v>
      </c>
      <c r="H72" s="963">
        <f t="shared" ref="H72:H135" si="5">SUMIF($R$7:$R$182,A72,$U$7:$U$182)</f>
        <v>0</v>
      </c>
      <c r="I72" s="365" t="str">
        <f t="shared" si="3"/>
        <v>FEIL</v>
      </c>
      <c r="N72" s="354" t="s">
        <v>182</v>
      </c>
      <c r="O72" s="348" t="b">
        <f t="shared" si="2"/>
        <v>0</v>
      </c>
      <c r="R72" s="981"/>
      <c r="S72" s="986" t="s">
        <v>362</v>
      </c>
      <c r="T72" s="985"/>
      <c r="U72" s="1046"/>
      <c r="V72" s="1047"/>
      <c r="W72" s="1045"/>
      <c r="AE72" s="981">
        <v>65</v>
      </c>
    </row>
    <row r="73" spans="1:31" ht="15.75" thickBot="1" x14ac:dyDescent="0.3">
      <c r="A73" s="96" t="s">
        <v>254</v>
      </c>
      <c r="B73" s="163" t="s">
        <v>694</v>
      </c>
      <c r="C73" s="917" t="s">
        <v>626</v>
      </c>
      <c r="D73" s="30"/>
      <c r="E73" s="30"/>
      <c r="H73" s="221">
        <f t="shared" si="5"/>
        <v>1</v>
      </c>
      <c r="I73" s="365" t="str">
        <f t="shared" si="3"/>
        <v>FEIL</v>
      </c>
      <c r="N73" s="354" t="s">
        <v>183</v>
      </c>
      <c r="O73" s="348" t="b">
        <f t="shared" ref="O73:O97" si="6">N73=S73</f>
        <v>0</v>
      </c>
      <c r="R73" s="981"/>
      <c r="S73" s="1294" t="s">
        <v>148</v>
      </c>
      <c r="T73" s="1027" t="s">
        <v>845</v>
      </c>
      <c r="U73" s="1055"/>
      <c r="V73" s="1055"/>
      <c r="W73" s="1045"/>
      <c r="AE73" s="981">
        <v>66</v>
      </c>
    </row>
    <row r="74" spans="1:31" ht="15.75" thickBot="1" x14ac:dyDescent="0.3">
      <c r="A74" s="96" t="s">
        <v>356</v>
      </c>
      <c r="B74" s="163" t="s">
        <v>697</v>
      </c>
      <c r="C74" s="917" t="s">
        <v>627</v>
      </c>
      <c r="D74" s="53"/>
      <c r="E74" s="53"/>
      <c r="F74" s="53"/>
      <c r="H74" s="221">
        <f t="shared" si="5"/>
        <v>1</v>
      </c>
      <c r="I74" s="365" t="str">
        <f t="shared" si="3"/>
        <v>FEIL</v>
      </c>
      <c r="N74" s="354" t="s">
        <v>184</v>
      </c>
      <c r="O74" s="348" t="b">
        <f t="shared" si="6"/>
        <v>0</v>
      </c>
      <c r="R74" s="981" t="s">
        <v>761</v>
      </c>
      <c r="S74" s="1295"/>
      <c r="T74" s="989" t="s">
        <v>638</v>
      </c>
      <c r="U74" s="1048">
        <v>2</v>
      </c>
      <c r="V74" s="1061" t="s">
        <v>348</v>
      </c>
      <c r="W74" s="1045"/>
      <c r="AE74" s="981">
        <v>67</v>
      </c>
    </row>
    <row r="75" spans="1:31" x14ac:dyDescent="0.25">
      <c r="A75" s="96" t="s">
        <v>751</v>
      </c>
      <c r="B75" s="166" t="s">
        <v>698</v>
      </c>
      <c r="C75" s="917" t="s">
        <v>628</v>
      </c>
      <c r="D75" s="52">
        <f>Poeng!T169</f>
        <v>2</v>
      </c>
      <c r="E75" s="51"/>
      <c r="F75" s="52">
        <f>Poeng!AB169</f>
        <v>2</v>
      </c>
      <c r="H75" s="221">
        <f t="shared" si="5"/>
        <v>0</v>
      </c>
      <c r="I75" s="365" t="str">
        <f t="shared" ref="I75:I107" si="7">IF(F75=H75,"OK","FEIL")</f>
        <v>FEIL</v>
      </c>
      <c r="N75" s="354" t="s">
        <v>185</v>
      </c>
      <c r="O75" s="348" t="b">
        <f t="shared" si="6"/>
        <v>0</v>
      </c>
      <c r="R75" s="981" t="s">
        <v>762</v>
      </c>
      <c r="S75" s="1296"/>
      <c r="T75" s="989" t="s">
        <v>639</v>
      </c>
      <c r="U75" s="1053">
        <v>1</v>
      </c>
      <c r="V75" s="1064" t="s">
        <v>348</v>
      </c>
      <c r="W75" s="1045"/>
      <c r="AE75" s="981">
        <v>68</v>
      </c>
    </row>
    <row r="76" spans="1:31" s="367" customFormat="1" x14ac:dyDescent="0.25">
      <c r="A76" s="137" t="s">
        <v>138</v>
      </c>
      <c r="B76" s="942" t="s">
        <v>138</v>
      </c>
      <c r="C76" s="832" t="s">
        <v>130</v>
      </c>
      <c r="D76" s="50">
        <f>Poeng!T171</f>
        <v>2</v>
      </c>
      <c r="E76" s="49"/>
      <c r="F76" s="52">
        <f>Poeng!AB171</f>
        <v>2</v>
      </c>
      <c r="G76"/>
      <c r="H76" s="963">
        <f t="shared" si="5"/>
        <v>0</v>
      </c>
      <c r="I76" s="365" t="str">
        <f t="shared" si="7"/>
        <v>FEIL</v>
      </c>
      <c r="J76"/>
      <c r="K76"/>
      <c r="N76" s="369"/>
      <c r="Q76" s="981"/>
      <c r="R76" s="981" t="s">
        <v>764</v>
      </c>
      <c r="S76" s="991" t="s">
        <v>149</v>
      </c>
      <c r="T76" s="994" t="s">
        <v>846</v>
      </c>
      <c r="U76" s="1053">
        <v>10</v>
      </c>
      <c r="V76" s="1064" t="s">
        <v>348</v>
      </c>
      <c r="W76" s="1045"/>
      <c r="AE76" s="981">
        <v>69</v>
      </c>
    </row>
    <row r="77" spans="1:31" x14ac:dyDescent="0.25">
      <c r="A77" s="96" t="s">
        <v>752</v>
      </c>
      <c r="B77" s="163" t="s">
        <v>694</v>
      </c>
      <c r="C77" s="917" t="s">
        <v>629</v>
      </c>
      <c r="D77" s="50">
        <f>Poeng!T175</f>
        <v>3</v>
      </c>
      <c r="E77" s="49"/>
      <c r="F77" s="52">
        <f>Poeng!AB175</f>
        <v>3</v>
      </c>
      <c r="G77" s="367"/>
      <c r="H77" s="221">
        <f t="shared" si="5"/>
        <v>1</v>
      </c>
      <c r="I77" s="365"/>
      <c r="J77" s="367"/>
      <c r="K77" s="367"/>
      <c r="N77" s="350"/>
      <c r="O77" s="348" t="b">
        <f t="shared" si="6"/>
        <v>1</v>
      </c>
      <c r="R77" s="981"/>
      <c r="S77" s="987"/>
      <c r="T77" s="985"/>
      <c r="U77" s="1046"/>
      <c r="V77" s="1047"/>
      <c r="W77" s="1045"/>
      <c r="AE77" s="981">
        <v>70</v>
      </c>
    </row>
    <row r="78" spans="1:31" x14ac:dyDescent="0.25">
      <c r="A78" s="96" t="s">
        <v>753</v>
      </c>
      <c r="B78" s="163" t="s">
        <v>697</v>
      </c>
      <c r="C78" s="917" t="s">
        <v>630</v>
      </c>
      <c r="D78" s="50">
        <f>Poeng!T179</f>
        <v>4</v>
      </c>
      <c r="E78" s="49"/>
      <c r="F78" s="52">
        <f>Poeng!AB179</f>
        <v>4</v>
      </c>
      <c r="H78" s="1036">
        <f>H77</f>
        <v>1</v>
      </c>
      <c r="I78" s="365" t="str">
        <f t="shared" si="7"/>
        <v>FEIL</v>
      </c>
      <c r="N78" s="351" t="s">
        <v>381</v>
      </c>
      <c r="O78" s="348" t="b">
        <f t="shared" si="6"/>
        <v>0</v>
      </c>
      <c r="R78" s="981"/>
      <c r="S78" s="986" t="s">
        <v>365</v>
      </c>
      <c r="T78" s="985"/>
      <c r="U78" s="1046"/>
      <c r="V78" s="1047"/>
      <c r="W78" s="1045"/>
      <c r="AE78" s="981">
        <v>71</v>
      </c>
    </row>
    <row r="79" spans="1:31" x14ac:dyDescent="0.25">
      <c r="A79" s="96"/>
      <c r="B79" s="701" t="s">
        <v>139</v>
      </c>
      <c r="C79" s="700"/>
      <c r="D79" s="50">
        <f>Poeng!T183</f>
        <v>2</v>
      </c>
      <c r="E79" s="49"/>
      <c r="F79" s="52">
        <f>Poeng!AB183</f>
        <v>2</v>
      </c>
      <c r="H79" s="956">
        <f t="shared" si="5"/>
        <v>0</v>
      </c>
      <c r="I79" s="365" t="str">
        <f t="shared" si="7"/>
        <v>FEIL</v>
      </c>
      <c r="N79" s="354" t="s">
        <v>382</v>
      </c>
      <c r="O79" s="348" t="b">
        <f t="shared" si="6"/>
        <v>0</v>
      </c>
      <c r="R79" s="981" t="s">
        <v>765</v>
      </c>
      <c r="S79" s="991" t="s">
        <v>170</v>
      </c>
      <c r="T79" s="994" t="s">
        <v>366</v>
      </c>
      <c r="U79" s="1053">
        <v>5</v>
      </c>
      <c r="V79" s="1064" t="s">
        <v>348</v>
      </c>
      <c r="W79" s="1045"/>
      <c r="AE79" s="981">
        <v>72</v>
      </c>
    </row>
    <row r="80" spans="1:31" s="367" customFormat="1" x14ac:dyDescent="0.25">
      <c r="A80" s="137" t="s">
        <v>140</v>
      </c>
      <c r="B80" s="834" t="s">
        <v>140</v>
      </c>
      <c r="C80" s="832" t="s">
        <v>131</v>
      </c>
      <c r="D80" s="50">
        <f>Poeng!T187</f>
        <v>1</v>
      </c>
      <c r="E80" s="49"/>
      <c r="F80" s="52">
        <f>Poeng!AB187</f>
        <v>1</v>
      </c>
      <c r="G80"/>
      <c r="H80" s="963">
        <f t="shared" si="5"/>
        <v>0</v>
      </c>
      <c r="I80" s="365" t="str">
        <f t="shared" si="7"/>
        <v>FEIL</v>
      </c>
      <c r="J80"/>
      <c r="K80"/>
      <c r="N80" s="369"/>
      <c r="Q80" s="981"/>
      <c r="R80" s="981" t="s">
        <v>766</v>
      </c>
      <c r="S80" s="991" t="s">
        <v>171</v>
      </c>
      <c r="T80" s="994" t="s">
        <v>367</v>
      </c>
      <c r="U80" s="1053">
        <v>1</v>
      </c>
      <c r="V80" s="1064" t="s">
        <v>348</v>
      </c>
      <c r="W80" s="1045"/>
      <c r="AE80" s="981">
        <v>73</v>
      </c>
    </row>
    <row r="81" spans="1:31" s="367" customFormat="1" x14ac:dyDescent="0.25">
      <c r="A81" s="96" t="s">
        <v>754</v>
      </c>
      <c r="B81" s="163" t="s">
        <v>694</v>
      </c>
      <c r="C81" s="917" t="s">
        <v>631</v>
      </c>
      <c r="D81" s="50">
        <f>Poeng!T189</f>
        <v>2</v>
      </c>
      <c r="E81" s="49"/>
      <c r="F81" s="52">
        <f>Poeng!AB189</f>
        <v>2</v>
      </c>
      <c r="H81" s="221">
        <f t="shared" si="5"/>
        <v>0</v>
      </c>
      <c r="I81" s="365" t="str">
        <f t="shared" si="7"/>
        <v>FEIL</v>
      </c>
      <c r="N81" s="369"/>
      <c r="Q81" s="981"/>
      <c r="R81" s="981"/>
      <c r="S81" s="991" t="s">
        <v>172</v>
      </c>
      <c r="T81" s="1027" t="s">
        <v>368</v>
      </c>
      <c r="U81" s="1055"/>
      <c r="V81" s="1055"/>
      <c r="W81" s="1045"/>
      <c r="AE81" s="981">
        <v>74</v>
      </c>
    </row>
    <row r="82" spans="1:31" ht="15.75" thickBot="1" x14ac:dyDescent="0.3">
      <c r="A82" s="96" t="s">
        <v>755</v>
      </c>
      <c r="B82" s="163" t="s">
        <v>697</v>
      </c>
      <c r="C82" s="917" t="s">
        <v>632</v>
      </c>
      <c r="D82" s="50">
        <f>Poeng!T192</f>
        <v>3</v>
      </c>
      <c r="E82" s="69"/>
      <c r="F82" s="52">
        <f>Poeng!AB192</f>
        <v>3</v>
      </c>
      <c r="G82" s="367"/>
      <c r="H82" s="221">
        <f t="shared" si="5"/>
        <v>0</v>
      </c>
      <c r="I82" s="365" t="str">
        <f t="shared" si="7"/>
        <v>FEIL</v>
      </c>
      <c r="J82" s="367"/>
      <c r="K82" s="367"/>
      <c r="N82" s="354" t="s">
        <v>384</v>
      </c>
      <c r="O82" s="348" t="b">
        <f t="shared" si="6"/>
        <v>0</v>
      </c>
      <c r="R82" s="981" t="s">
        <v>767</v>
      </c>
      <c r="S82" s="991"/>
      <c r="T82" s="989" t="s">
        <v>644</v>
      </c>
      <c r="U82" s="1053" t="s">
        <v>236</v>
      </c>
      <c r="V82" s="1064" t="s">
        <v>348</v>
      </c>
      <c r="W82" s="1045"/>
      <c r="AE82" s="981">
        <v>75</v>
      </c>
    </row>
    <row r="83" spans="1:31" ht="15.75" thickBot="1" x14ac:dyDescent="0.3">
      <c r="A83" s="137" t="s">
        <v>141</v>
      </c>
      <c r="B83" s="834" t="s">
        <v>141</v>
      </c>
      <c r="C83" s="832" t="s">
        <v>132</v>
      </c>
      <c r="D83" s="56">
        <f>Poeng!T197</f>
        <v>19</v>
      </c>
      <c r="E83" s="56"/>
      <c r="F83" s="56">
        <f>SUM(F75:F82)</f>
        <v>19</v>
      </c>
      <c r="H83" s="963">
        <f t="shared" si="5"/>
        <v>0</v>
      </c>
      <c r="I83" s="365" t="str">
        <f t="shared" si="7"/>
        <v>FEIL</v>
      </c>
      <c r="N83" s="354" t="s">
        <v>385</v>
      </c>
      <c r="O83" s="348" t="b">
        <f t="shared" si="6"/>
        <v>0</v>
      </c>
      <c r="R83" s="981" t="s">
        <v>768</v>
      </c>
      <c r="S83" s="991"/>
      <c r="T83" s="989" t="s">
        <v>645</v>
      </c>
      <c r="U83" s="1053" t="s">
        <v>236</v>
      </c>
      <c r="V83" s="1064" t="s">
        <v>348</v>
      </c>
      <c r="W83" s="1045"/>
      <c r="AE83" s="981">
        <v>76</v>
      </c>
    </row>
    <row r="84" spans="1:31" ht="15.75" thickBot="1" x14ac:dyDescent="0.3">
      <c r="A84" s="96" t="s">
        <v>756</v>
      </c>
      <c r="B84" s="163" t="s">
        <v>694</v>
      </c>
      <c r="C84" s="917" t="s">
        <v>893</v>
      </c>
      <c r="D84" s="30"/>
      <c r="E84" s="30"/>
      <c r="H84" s="221">
        <f t="shared" si="5"/>
        <v>1</v>
      </c>
      <c r="I84" s="365" t="str">
        <f t="shared" si="7"/>
        <v>FEIL</v>
      </c>
      <c r="N84" s="354" t="s">
        <v>386</v>
      </c>
      <c r="O84" s="348" t="b">
        <f t="shared" si="6"/>
        <v>0</v>
      </c>
      <c r="R84" s="981" t="s">
        <v>769</v>
      </c>
      <c r="S84" s="991"/>
      <c r="T84" s="989" t="s">
        <v>646</v>
      </c>
      <c r="U84" s="1053" t="s">
        <v>236</v>
      </c>
      <c r="V84" s="1064" t="s">
        <v>348</v>
      </c>
      <c r="W84" s="1045"/>
      <c r="AE84" s="981">
        <v>77</v>
      </c>
    </row>
    <row r="85" spans="1:31" ht="15.75" thickBot="1" x14ac:dyDescent="0.3">
      <c r="A85" s="96" t="s">
        <v>757</v>
      </c>
      <c r="B85" s="163" t="s">
        <v>697</v>
      </c>
      <c r="C85" s="1011" t="s">
        <v>917</v>
      </c>
      <c r="D85" s="53"/>
      <c r="E85" s="53"/>
      <c r="F85" s="53"/>
      <c r="H85" s="1036">
        <f>IF(SUMIF($R$7:$R$182,A85,$U$7:$U$182)=2,1,SUMIF($R$7:$R$182,A85,$U$7:$U$182))</f>
        <v>1</v>
      </c>
      <c r="I85" s="365" t="str">
        <f t="shared" si="7"/>
        <v>FEIL</v>
      </c>
      <c r="J85" t="s">
        <v>944</v>
      </c>
      <c r="N85" s="354" t="s">
        <v>388</v>
      </c>
      <c r="O85" s="348" t="b">
        <f t="shared" si="6"/>
        <v>0</v>
      </c>
      <c r="R85" s="981" t="s">
        <v>770</v>
      </c>
      <c r="S85" s="991" t="s">
        <v>173</v>
      </c>
      <c r="T85" s="994" t="s">
        <v>369</v>
      </c>
      <c r="U85" s="1053">
        <v>1</v>
      </c>
      <c r="V85" s="1064" t="s">
        <v>348</v>
      </c>
      <c r="W85" s="1045"/>
      <c r="AE85" s="981">
        <v>78</v>
      </c>
    </row>
    <row r="86" spans="1:31" x14ac:dyDescent="0.25">
      <c r="A86" s="96" t="s">
        <v>919</v>
      </c>
      <c r="B86" s="163" t="s">
        <v>698</v>
      </c>
      <c r="C86" s="1011" t="s">
        <v>918</v>
      </c>
      <c r="D86" s="50">
        <f>Poeng!T200</f>
        <v>3</v>
      </c>
      <c r="E86" s="49"/>
      <c r="F86" s="52">
        <f>Poeng!AB200</f>
        <v>3</v>
      </c>
      <c r="H86" s="1036">
        <f>IF(SUMIF($R$7:$R$182,A85,$U$7:$U$182)=2,1,0)</f>
        <v>1</v>
      </c>
      <c r="I86" s="365" t="str">
        <f t="shared" si="7"/>
        <v>FEIL</v>
      </c>
      <c r="J86" s="981" t="s">
        <v>944</v>
      </c>
      <c r="N86" s="350"/>
      <c r="O86" s="348" t="b">
        <f t="shared" si="6"/>
        <v>1</v>
      </c>
      <c r="R86" s="981"/>
      <c r="S86" s="987"/>
      <c r="T86" s="985"/>
      <c r="U86" s="1046"/>
      <c r="V86" s="1047"/>
      <c r="W86" s="1045"/>
      <c r="AE86" s="981">
        <v>79</v>
      </c>
    </row>
    <row r="87" spans="1:31" ht="15" customHeight="1" x14ac:dyDescent="0.25">
      <c r="A87" s="137" t="s">
        <v>142</v>
      </c>
      <c r="B87" s="834" t="s">
        <v>142</v>
      </c>
      <c r="C87" s="832" t="s">
        <v>133</v>
      </c>
      <c r="D87" s="50">
        <f>Poeng!T204</f>
        <v>2</v>
      </c>
      <c r="E87" s="49"/>
      <c r="F87" s="52">
        <f>Poeng!AB204</f>
        <v>2</v>
      </c>
      <c r="H87" s="963">
        <f t="shared" si="5"/>
        <v>0</v>
      </c>
      <c r="I87" s="365" t="str">
        <f t="shared" si="7"/>
        <v>FEIL</v>
      </c>
      <c r="N87" s="350"/>
      <c r="O87" s="348" t="b">
        <f t="shared" si="6"/>
        <v>0</v>
      </c>
      <c r="R87" s="981"/>
      <c r="S87" s="986" t="s">
        <v>370</v>
      </c>
      <c r="T87" s="985"/>
      <c r="U87" s="1046"/>
      <c r="V87" s="1047"/>
      <c r="W87" s="1045"/>
      <c r="AE87" s="981">
        <v>80</v>
      </c>
    </row>
    <row r="88" spans="1:31" x14ac:dyDescent="0.25">
      <c r="A88" s="96" t="s">
        <v>758</v>
      </c>
      <c r="B88" s="163" t="s">
        <v>694</v>
      </c>
      <c r="C88" s="917" t="s">
        <v>635</v>
      </c>
      <c r="D88" s="50">
        <f>Poeng!T207</f>
        <v>0</v>
      </c>
      <c r="E88" s="49"/>
      <c r="F88" s="52">
        <f>Poeng!AB207</f>
        <v>0</v>
      </c>
      <c r="H88" s="221">
        <f t="shared" si="5"/>
        <v>0</v>
      </c>
      <c r="I88" s="365" t="str">
        <f t="shared" si="7"/>
        <v>OK</v>
      </c>
      <c r="N88" s="352" t="s">
        <v>390</v>
      </c>
      <c r="O88" s="348" t="b">
        <f t="shared" si="6"/>
        <v>0</v>
      </c>
      <c r="R88" s="981"/>
      <c r="S88" s="991" t="s">
        <v>174</v>
      </c>
      <c r="T88" s="1027" t="s">
        <v>847</v>
      </c>
      <c r="U88" s="1055"/>
      <c r="V88" s="1029"/>
      <c r="W88" s="1045"/>
      <c r="AE88" s="981">
        <v>81</v>
      </c>
    </row>
    <row r="89" spans="1:31" x14ac:dyDescent="0.25">
      <c r="A89" s="96" t="s">
        <v>759</v>
      </c>
      <c r="B89" s="163" t="s">
        <v>697</v>
      </c>
      <c r="C89" s="917" t="s">
        <v>636</v>
      </c>
      <c r="D89" s="50">
        <f>Poeng!T208</f>
        <v>1</v>
      </c>
      <c r="E89" s="49"/>
      <c r="F89" s="52">
        <f>Poeng!AB208</f>
        <v>1</v>
      </c>
      <c r="H89" s="221">
        <f t="shared" si="5"/>
        <v>0</v>
      </c>
      <c r="I89" s="365" t="str">
        <f t="shared" si="7"/>
        <v>FEIL</v>
      </c>
      <c r="N89" s="354" t="s">
        <v>97</v>
      </c>
      <c r="O89" s="348" t="b">
        <f t="shared" si="6"/>
        <v>0</v>
      </c>
      <c r="R89" s="981" t="s">
        <v>772</v>
      </c>
      <c r="S89" s="991"/>
      <c r="T89" s="989" t="s">
        <v>648</v>
      </c>
      <c r="U89" s="1048">
        <v>3</v>
      </c>
      <c r="V89" s="1058" t="s">
        <v>348</v>
      </c>
      <c r="W89" s="1045"/>
      <c r="AE89" s="981">
        <v>82</v>
      </c>
    </row>
    <row r="90" spans="1:31" ht="15.75" thickBot="1" x14ac:dyDescent="0.3">
      <c r="A90" s="137" t="s">
        <v>143</v>
      </c>
      <c r="B90" s="834" t="s">
        <v>143</v>
      </c>
      <c r="C90" s="832" t="s">
        <v>134</v>
      </c>
      <c r="D90" s="50">
        <f>Poeng!T211</f>
        <v>1</v>
      </c>
      <c r="E90" s="49"/>
      <c r="F90" s="52">
        <f>Poeng!AB211</f>
        <v>1</v>
      </c>
      <c r="H90" s="963">
        <f t="shared" si="5"/>
        <v>0</v>
      </c>
      <c r="I90" s="365" t="str">
        <f t="shared" si="7"/>
        <v>FEIL</v>
      </c>
      <c r="N90" s="354" t="s">
        <v>119</v>
      </c>
      <c r="O90" s="348" t="b">
        <f t="shared" si="6"/>
        <v>0</v>
      </c>
      <c r="R90" s="981" t="s">
        <v>773</v>
      </c>
      <c r="S90" s="991"/>
      <c r="T90" s="989" t="s">
        <v>649</v>
      </c>
      <c r="U90" s="1048">
        <v>2</v>
      </c>
      <c r="V90" s="1058" t="s">
        <v>348</v>
      </c>
      <c r="W90" s="1045"/>
      <c r="AE90" s="981">
        <v>83</v>
      </c>
    </row>
    <row r="91" spans="1:31" ht="15.75" thickBot="1" x14ac:dyDescent="0.3">
      <c r="A91" s="96" t="s">
        <v>760</v>
      </c>
      <c r="B91" s="166" t="s">
        <v>694</v>
      </c>
      <c r="C91" s="917" t="s">
        <v>637</v>
      </c>
      <c r="D91" s="56">
        <f>Poeng!T214</f>
        <v>7</v>
      </c>
      <c r="E91" s="56"/>
      <c r="F91" s="56">
        <f>SUM(F86:F90)</f>
        <v>7</v>
      </c>
      <c r="H91" s="221">
        <f t="shared" si="5"/>
        <v>0</v>
      </c>
      <c r="I91" s="365" t="str">
        <f t="shared" si="7"/>
        <v>FEIL</v>
      </c>
      <c r="N91" s="354" t="s">
        <v>363</v>
      </c>
      <c r="O91" s="348" t="b">
        <f t="shared" si="6"/>
        <v>0</v>
      </c>
      <c r="R91" s="981"/>
      <c r="S91" s="991" t="s">
        <v>479</v>
      </c>
      <c r="T91" s="1027" t="s">
        <v>848</v>
      </c>
      <c r="U91" s="1055"/>
      <c r="V91" s="1029"/>
      <c r="W91" s="1045"/>
      <c r="AE91" s="981">
        <v>84</v>
      </c>
    </row>
    <row r="92" spans="1:31" ht="15.75" thickBot="1" x14ac:dyDescent="0.3">
      <c r="A92" s="96"/>
      <c r="B92" s="701" t="s">
        <v>144</v>
      </c>
      <c r="C92" s="700"/>
      <c r="D92" s="30"/>
      <c r="E92" s="30"/>
      <c r="H92" s="956">
        <f t="shared" si="5"/>
        <v>0</v>
      </c>
      <c r="I92" s="365" t="str">
        <f t="shared" si="7"/>
        <v>OK</v>
      </c>
      <c r="N92" s="354" t="s">
        <v>364</v>
      </c>
      <c r="O92" s="348" t="b">
        <f t="shared" si="6"/>
        <v>0</v>
      </c>
      <c r="R92" s="981" t="s">
        <v>775</v>
      </c>
      <c r="S92" s="991"/>
      <c r="T92" s="989" t="s">
        <v>651</v>
      </c>
      <c r="U92" s="1048">
        <v>1</v>
      </c>
      <c r="V92" s="1058" t="s">
        <v>348</v>
      </c>
      <c r="W92" s="1045"/>
      <c r="AE92" s="981">
        <v>85</v>
      </c>
    </row>
    <row r="93" spans="1:31" ht="15.75" thickBot="1" x14ac:dyDescent="0.3">
      <c r="A93" s="96"/>
      <c r="B93" s="701" t="s">
        <v>145</v>
      </c>
      <c r="C93" s="700"/>
      <c r="D93" s="53"/>
      <c r="E93" s="53"/>
      <c r="F93" s="53"/>
      <c r="H93" s="956">
        <f t="shared" si="5"/>
        <v>0</v>
      </c>
      <c r="I93" s="365" t="str">
        <f t="shared" si="7"/>
        <v>OK</v>
      </c>
      <c r="N93" s="369" t="s">
        <v>170</v>
      </c>
      <c r="O93" s="367" t="b">
        <f t="shared" si="6"/>
        <v>0</v>
      </c>
      <c r="R93" s="981" t="s">
        <v>776</v>
      </c>
      <c r="S93" s="991"/>
      <c r="T93" s="989" t="s">
        <v>652</v>
      </c>
      <c r="U93" s="1048">
        <v>2</v>
      </c>
      <c r="V93" s="1058" t="s">
        <v>348</v>
      </c>
      <c r="W93" s="1045"/>
      <c r="AE93" s="981">
        <v>86</v>
      </c>
    </row>
    <row r="94" spans="1:31" ht="15.75" thickBot="1" x14ac:dyDescent="0.3">
      <c r="A94" s="96" t="s">
        <v>885</v>
      </c>
      <c r="B94" s="201"/>
      <c r="C94" s="202" t="s">
        <v>215</v>
      </c>
      <c r="D94" s="52">
        <f>Poeng!T217</f>
        <v>1</v>
      </c>
      <c r="E94" s="51"/>
      <c r="F94" s="52">
        <f>Poeng!AB217</f>
        <v>1</v>
      </c>
      <c r="H94" s="226">
        <f t="shared" si="5"/>
        <v>0</v>
      </c>
      <c r="I94" s="365" t="str">
        <f t="shared" si="7"/>
        <v>FEIL</v>
      </c>
      <c r="N94" s="354" t="s">
        <v>174</v>
      </c>
      <c r="O94" s="367" t="b">
        <f t="shared" si="6"/>
        <v>0</v>
      </c>
      <c r="R94" s="981"/>
      <c r="S94" s="991" t="s">
        <v>175</v>
      </c>
      <c r="T94" s="1027" t="s">
        <v>849</v>
      </c>
      <c r="U94" s="1055"/>
      <c r="V94" s="1029"/>
      <c r="W94" s="1045"/>
      <c r="AE94" s="981">
        <v>87</v>
      </c>
    </row>
    <row r="95" spans="1:31" ht="15.75" thickBot="1" x14ac:dyDescent="0.3">
      <c r="A95" s="96"/>
      <c r="B95" s="96"/>
      <c r="C95" s="96"/>
      <c r="D95" s="50">
        <f>Poeng!T218</f>
        <v>1</v>
      </c>
      <c r="E95" s="49"/>
      <c r="F95" s="52">
        <f>Poeng!AB218</f>
        <v>1</v>
      </c>
      <c r="H95" s="96">
        <f t="shared" si="5"/>
        <v>0</v>
      </c>
      <c r="I95" s="365" t="str">
        <f t="shared" si="7"/>
        <v>FEIL</v>
      </c>
      <c r="N95" s="354" t="s">
        <v>175</v>
      </c>
      <c r="O95" s="367" t="b">
        <f t="shared" si="6"/>
        <v>0</v>
      </c>
      <c r="R95" s="981" t="s">
        <v>778</v>
      </c>
      <c r="S95" s="991"/>
      <c r="T95" s="989" t="s">
        <v>654</v>
      </c>
      <c r="U95" s="1048">
        <v>1</v>
      </c>
      <c r="V95" s="1058" t="s">
        <v>348</v>
      </c>
      <c r="W95" s="1045"/>
      <c r="AE95" s="981">
        <v>88</v>
      </c>
    </row>
    <row r="96" spans="1:31" ht="15.75" thickBot="1" x14ac:dyDescent="0.3">
      <c r="A96" s="96"/>
      <c r="B96" s="145"/>
      <c r="C96" s="146" t="s">
        <v>68</v>
      </c>
      <c r="D96" s="50">
        <f>Poeng!T219</f>
        <v>1</v>
      </c>
      <c r="E96" s="49"/>
      <c r="F96" s="52">
        <f>Poeng!AB219</f>
        <v>1</v>
      </c>
      <c r="H96" s="138">
        <f t="shared" si="5"/>
        <v>0</v>
      </c>
      <c r="I96" s="365" t="str">
        <f t="shared" si="7"/>
        <v>FEIL</v>
      </c>
      <c r="N96" s="354" t="s">
        <v>178</v>
      </c>
      <c r="O96" s="367" t="b">
        <f t="shared" si="6"/>
        <v>0</v>
      </c>
      <c r="R96" s="981" t="s">
        <v>779</v>
      </c>
      <c r="S96" s="991"/>
      <c r="T96" s="989" t="s">
        <v>655</v>
      </c>
      <c r="U96" s="1048">
        <v>2</v>
      </c>
      <c r="V96" s="1058" t="s">
        <v>348</v>
      </c>
      <c r="W96" s="1045"/>
      <c r="AE96" s="981">
        <v>89</v>
      </c>
    </row>
    <row r="97" spans="1:31" x14ac:dyDescent="0.25">
      <c r="A97" s="137" t="s">
        <v>148</v>
      </c>
      <c r="B97" s="833" t="s">
        <v>148</v>
      </c>
      <c r="C97" s="831" t="s">
        <v>462</v>
      </c>
      <c r="D97" s="50">
        <f>Poeng!T220</f>
        <v>1</v>
      </c>
      <c r="E97" s="49"/>
      <c r="F97" s="52">
        <f>Poeng!AB220</f>
        <v>1</v>
      </c>
      <c r="H97" s="150">
        <f t="shared" si="5"/>
        <v>0</v>
      </c>
      <c r="I97" s="365" t="str">
        <f t="shared" si="7"/>
        <v>FEIL</v>
      </c>
      <c r="N97" t="s">
        <v>179</v>
      </c>
      <c r="O97" s="367" t="b">
        <f t="shared" si="6"/>
        <v>0</v>
      </c>
      <c r="R97" s="981"/>
      <c r="S97" s="991" t="s">
        <v>176</v>
      </c>
      <c r="T97" s="1027" t="s">
        <v>371</v>
      </c>
      <c r="U97" s="1055"/>
      <c r="V97" s="1029"/>
      <c r="W97" s="1045"/>
      <c r="AE97" s="981">
        <v>90</v>
      </c>
    </row>
    <row r="98" spans="1:31" x14ac:dyDescent="0.25">
      <c r="A98" s="96" t="s">
        <v>761</v>
      </c>
      <c r="B98" s="163" t="s">
        <v>694</v>
      </c>
      <c r="C98" s="917" t="s">
        <v>638</v>
      </c>
      <c r="D98" s="50">
        <f>Poeng!T221</f>
        <v>2</v>
      </c>
      <c r="E98" s="49"/>
      <c r="F98" s="52">
        <f>Poeng!AB221</f>
        <v>2</v>
      </c>
      <c r="H98" s="221">
        <f t="shared" si="5"/>
        <v>2</v>
      </c>
      <c r="I98" s="365" t="str">
        <f t="shared" si="7"/>
        <v>OK</v>
      </c>
      <c r="O98" s="348"/>
      <c r="R98" s="981" t="s">
        <v>781</v>
      </c>
      <c r="S98" s="993"/>
      <c r="T98" s="989" t="s">
        <v>657</v>
      </c>
      <c r="U98" s="1048">
        <v>1</v>
      </c>
      <c r="V98" s="1058" t="s">
        <v>348</v>
      </c>
      <c r="W98" s="1045"/>
      <c r="AE98" s="981">
        <v>91</v>
      </c>
    </row>
    <row r="99" spans="1:31" x14ac:dyDescent="0.25">
      <c r="A99" s="96" t="s">
        <v>762</v>
      </c>
      <c r="B99" s="163" t="s">
        <v>697</v>
      </c>
      <c r="C99" s="917" t="s">
        <v>639</v>
      </c>
      <c r="D99" s="50">
        <f>Poeng!T222</f>
        <v>1</v>
      </c>
      <c r="E99" s="49"/>
      <c r="F99" s="52">
        <f>Poeng!AB222</f>
        <v>1</v>
      </c>
      <c r="H99" s="221">
        <f t="shared" si="5"/>
        <v>1</v>
      </c>
      <c r="I99" s="365" t="str">
        <f t="shared" si="7"/>
        <v>OK</v>
      </c>
      <c r="O99" s="348"/>
      <c r="R99" s="981" t="s">
        <v>782</v>
      </c>
      <c r="S99" s="993"/>
      <c r="T99" s="989" t="s">
        <v>658</v>
      </c>
      <c r="U99" s="1048">
        <v>1</v>
      </c>
      <c r="V99" s="1058" t="s">
        <v>348</v>
      </c>
      <c r="W99" s="1045"/>
      <c r="AE99" s="981">
        <v>92</v>
      </c>
    </row>
    <row r="100" spans="1:31" x14ac:dyDescent="0.25">
      <c r="A100" s="137" t="s">
        <v>149</v>
      </c>
      <c r="B100" s="834" t="s">
        <v>149</v>
      </c>
      <c r="C100" s="832" t="s">
        <v>463</v>
      </c>
      <c r="D100" s="50">
        <f>Poeng!T223</f>
        <v>1</v>
      </c>
      <c r="E100" s="49"/>
      <c r="F100" s="52">
        <f>Poeng!AB223</f>
        <v>1</v>
      </c>
      <c r="H100" s="963">
        <f t="shared" si="5"/>
        <v>0</v>
      </c>
      <c r="I100" s="365" t="str">
        <f t="shared" si="7"/>
        <v>FEIL</v>
      </c>
      <c r="O100" s="348"/>
      <c r="R100" s="981" t="s">
        <v>783</v>
      </c>
      <c r="S100" s="993"/>
      <c r="T100" s="989" t="s">
        <v>659</v>
      </c>
      <c r="U100" s="1048">
        <v>2</v>
      </c>
      <c r="V100" s="1058" t="s">
        <v>348</v>
      </c>
      <c r="W100" s="1045"/>
      <c r="AE100" s="981">
        <v>93</v>
      </c>
    </row>
    <row r="101" spans="1:31" s="30" customFormat="1" x14ac:dyDescent="0.25">
      <c r="A101" s="96"/>
      <c r="B101" s="163" t="s">
        <v>694</v>
      </c>
      <c r="C101" s="917" t="s">
        <v>640</v>
      </c>
      <c r="D101" s="50">
        <f>Poeng!T224</f>
        <v>1</v>
      </c>
      <c r="E101" s="49"/>
      <c r="F101" s="52">
        <f>Poeng!AB224</f>
        <v>1</v>
      </c>
      <c r="G101"/>
      <c r="H101" s="221">
        <f t="shared" si="5"/>
        <v>0</v>
      </c>
      <c r="I101" s="365" t="str">
        <f t="shared" si="7"/>
        <v>FEIL</v>
      </c>
      <c r="J101"/>
      <c r="K101"/>
      <c r="Q101" s="981"/>
      <c r="R101" s="981"/>
      <c r="S101" s="991" t="s">
        <v>177</v>
      </c>
      <c r="T101" s="1027" t="s">
        <v>661</v>
      </c>
      <c r="U101" s="1055"/>
      <c r="V101" s="1029"/>
      <c r="W101" s="1045"/>
      <c r="AE101" s="981">
        <v>94</v>
      </c>
    </row>
    <row r="102" spans="1:31" s="367" customFormat="1" x14ac:dyDescent="0.25">
      <c r="A102" s="96" t="s">
        <v>764</v>
      </c>
      <c r="B102" s="163" t="s">
        <v>697</v>
      </c>
      <c r="C102" s="917" t="s">
        <v>641</v>
      </c>
      <c r="D102" s="50">
        <f>Poeng!T225</f>
        <v>1</v>
      </c>
      <c r="E102" s="49"/>
      <c r="F102" s="52">
        <f>D102-E102</f>
        <v>1</v>
      </c>
      <c r="G102" s="30"/>
      <c r="H102" s="221">
        <f t="shared" si="5"/>
        <v>10</v>
      </c>
      <c r="I102" s="365" t="str">
        <f t="shared" si="7"/>
        <v>FEIL</v>
      </c>
      <c r="J102" s="30"/>
      <c r="K102" s="30"/>
      <c r="Q102" s="981"/>
      <c r="R102" s="981" t="s">
        <v>784</v>
      </c>
      <c r="S102" s="993"/>
      <c r="T102" s="989" t="s">
        <v>660</v>
      </c>
      <c r="U102" s="1048">
        <v>1</v>
      </c>
      <c r="V102" s="1058" t="s">
        <v>348</v>
      </c>
      <c r="W102" s="1045"/>
      <c r="AE102" s="981">
        <v>95</v>
      </c>
    </row>
    <row r="103" spans="1:31" s="367" customFormat="1" x14ac:dyDescent="0.25">
      <c r="A103" s="96"/>
      <c r="B103" s="701" t="s">
        <v>150</v>
      </c>
      <c r="C103" s="700"/>
      <c r="D103" s="50">
        <f>Poeng!T226</f>
        <v>1</v>
      </c>
      <c r="E103" s="49"/>
      <c r="F103" s="52">
        <f t="shared" ref="F103:F106" si="8">D103-E103</f>
        <v>1</v>
      </c>
      <c r="H103" s="956">
        <f t="shared" si="5"/>
        <v>0</v>
      </c>
      <c r="I103" s="365"/>
      <c r="Q103" s="981"/>
      <c r="R103" s="981" t="s">
        <v>785</v>
      </c>
      <c r="S103" s="993"/>
      <c r="T103" s="989" t="s">
        <v>661</v>
      </c>
      <c r="U103" s="1048">
        <v>1</v>
      </c>
      <c r="V103" s="1058" t="s">
        <v>348</v>
      </c>
      <c r="W103" s="1045"/>
      <c r="AE103" s="981">
        <v>96</v>
      </c>
    </row>
    <row r="104" spans="1:31" s="367" customFormat="1" x14ac:dyDescent="0.25">
      <c r="A104" s="96"/>
      <c r="B104" s="701" t="s">
        <v>151</v>
      </c>
      <c r="C104" s="700"/>
      <c r="D104" s="50">
        <f>Poeng!T227</f>
        <v>1</v>
      </c>
      <c r="E104" s="49"/>
      <c r="F104" s="52">
        <f t="shared" si="8"/>
        <v>1</v>
      </c>
      <c r="H104" s="956">
        <f t="shared" si="5"/>
        <v>0</v>
      </c>
      <c r="I104" s="365"/>
      <c r="Q104" s="981"/>
      <c r="R104" s="981" t="s">
        <v>786</v>
      </c>
      <c r="S104" s="993"/>
      <c r="T104" s="989" t="s">
        <v>662</v>
      </c>
      <c r="U104" s="1048">
        <v>1</v>
      </c>
      <c r="V104" s="1058" t="s">
        <v>348</v>
      </c>
      <c r="W104" s="1045"/>
      <c r="AE104" s="981">
        <v>97</v>
      </c>
    </row>
    <row r="105" spans="1:31" s="367" customFormat="1" x14ac:dyDescent="0.25">
      <c r="A105" s="96"/>
      <c r="B105" s="701" t="s">
        <v>152</v>
      </c>
      <c r="C105" s="700"/>
      <c r="D105" s="50">
        <f>Poeng!T228</f>
        <v>1</v>
      </c>
      <c r="E105" s="49"/>
      <c r="F105" s="52">
        <f t="shared" si="8"/>
        <v>1</v>
      </c>
      <c r="H105" s="956">
        <f t="shared" si="5"/>
        <v>0</v>
      </c>
      <c r="I105" s="365"/>
      <c r="Q105" s="981"/>
      <c r="R105" s="981"/>
      <c r="S105" s="991" t="s">
        <v>480</v>
      </c>
      <c r="T105" s="1027" t="s">
        <v>850</v>
      </c>
      <c r="U105" s="1055"/>
      <c r="V105" s="1029"/>
      <c r="W105" s="1045"/>
      <c r="AE105" s="981">
        <v>98</v>
      </c>
    </row>
    <row r="106" spans="1:31" ht="15.75" thickBot="1" x14ac:dyDescent="0.3">
      <c r="A106" s="96"/>
      <c r="B106" s="705" t="s">
        <v>315</v>
      </c>
      <c r="C106" s="706"/>
      <c r="D106" s="50">
        <f>Poeng!T229</f>
        <v>1</v>
      </c>
      <c r="E106" s="49"/>
      <c r="F106" s="52">
        <f t="shared" si="8"/>
        <v>1</v>
      </c>
      <c r="G106" s="367"/>
      <c r="H106" s="956">
        <f t="shared" si="5"/>
        <v>0</v>
      </c>
      <c r="I106" s="365"/>
      <c r="J106" s="367"/>
      <c r="K106" s="367"/>
      <c r="R106" s="981" t="s">
        <v>787</v>
      </c>
      <c r="S106" s="993"/>
      <c r="T106" s="989" t="s">
        <v>663</v>
      </c>
      <c r="U106" s="1048">
        <v>1</v>
      </c>
      <c r="V106" s="1058" t="s">
        <v>348</v>
      </c>
      <c r="W106" s="1045"/>
      <c r="AE106" s="981">
        <v>99</v>
      </c>
    </row>
    <row r="107" spans="1:31" ht="15.75" thickBot="1" x14ac:dyDescent="0.3">
      <c r="A107" s="96" t="s">
        <v>886</v>
      </c>
      <c r="B107" s="201"/>
      <c r="C107" s="202" t="s">
        <v>215</v>
      </c>
      <c r="D107" s="56">
        <f>Poeng!T231</f>
        <v>10</v>
      </c>
      <c r="E107" s="56"/>
      <c r="F107" s="56">
        <f>IF(SUM(F94:F106)&gt;10,10,SUM(F94:F106))</f>
        <v>10</v>
      </c>
      <c r="H107" s="226">
        <f t="shared" si="5"/>
        <v>0</v>
      </c>
      <c r="I107" s="365" t="str">
        <f t="shared" si="7"/>
        <v>FEIL</v>
      </c>
      <c r="R107" s="981" t="s">
        <v>788</v>
      </c>
      <c r="S107" s="993"/>
      <c r="T107" s="989" t="s">
        <v>664</v>
      </c>
      <c r="U107" s="1048">
        <v>1</v>
      </c>
      <c r="V107" s="1058" t="s">
        <v>348</v>
      </c>
      <c r="W107" s="1045"/>
      <c r="AE107" s="981">
        <v>100</v>
      </c>
    </row>
    <row r="108" spans="1:31" ht="15.75" thickBot="1" x14ac:dyDescent="0.3">
      <c r="A108" s="96"/>
      <c r="B108" s="96"/>
      <c r="C108" s="96"/>
      <c r="H108" s="96">
        <f t="shared" si="5"/>
        <v>0</v>
      </c>
      <c r="R108" s="981" t="s">
        <v>789</v>
      </c>
      <c r="S108" s="993"/>
      <c r="T108" s="989" t="s">
        <v>851</v>
      </c>
      <c r="U108" s="1048">
        <v>1</v>
      </c>
      <c r="V108" s="1058" t="s">
        <v>348</v>
      </c>
      <c r="W108" s="1045"/>
      <c r="AE108" s="981">
        <v>101</v>
      </c>
    </row>
    <row r="109" spans="1:31" ht="15.75" thickBot="1" x14ac:dyDescent="0.3">
      <c r="A109" s="96"/>
      <c r="B109" s="145"/>
      <c r="C109" s="146" t="s">
        <v>60</v>
      </c>
      <c r="H109" s="138">
        <f t="shared" si="5"/>
        <v>0</v>
      </c>
      <c r="R109" s="981"/>
      <c r="S109" s="986" t="s">
        <v>372</v>
      </c>
      <c r="T109" s="985"/>
      <c r="U109" s="1046"/>
      <c r="V109" s="1047"/>
      <c r="W109" s="1045"/>
      <c r="AE109" s="981">
        <v>102</v>
      </c>
    </row>
    <row r="110" spans="1:31" ht="15" customHeight="1" x14ac:dyDescent="0.25">
      <c r="A110" s="137" t="s">
        <v>170</v>
      </c>
      <c r="B110" s="833" t="s">
        <v>170</v>
      </c>
      <c r="C110" s="831" t="s">
        <v>153</v>
      </c>
      <c r="H110" s="961">
        <f t="shared" si="5"/>
        <v>0</v>
      </c>
      <c r="R110" s="981"/>
      <c r="S110" s="996" t="s">
        <v>178</v>
      </c>
      <c r="T110" s="999" t="s">
        <v>373</v>
      </c>
      <c r="U110" s="1057"/>
      <c r="V110" s="1065"/>
      <c r="W110" s="1045"/>
      <c r="AE110" s="981">
        <v>103</v>
      </c>
    </row>
    <row r="111" spans="1:31" ht="15" customHeight="1" x14ac:dyDescent="0.25">
      <c r="A111" s="96" t="s">
        <v>765</v>
      </c>
      <c r="B111" s="163" t="s">
        <v>694</v>
      </c>
      <c r="C111" s="917" t="s">
        <v>642</v>
      </c>
      <c r="H111" s="221">
        <f t="shared" si="5"/>
        <v>5</v>
      </c>
      <c r="R111" s="981" t="s">
        <v>790</v>
      </c>
      <c r="S111" s="991"/>
      <c r="T111" s="989" t="s">
        <v>666</v>
      </c>
      <c r="U111" s="1048">
        <v>1</v>
      </c>
      <c r="V111" s="1058" t="s">
        <v>348</v>
      </c>
      <c r="W111" s="1045"/>
      <c r="AE111" s="981">
        <v>104</v>
      </c>
    </row>
    <row r="112" spans="1:31" ht="15" customHeight="1" x14ac:dyDescent="0.25">
      <c r="A112" s="137" t="s">
        <v>171</v>
      </c>
      <c r="B112" s="834" t="s">
        <v>171</v>
      </c>
      <c r="C112" s="832" t="s">
        <v>154</v>
      </c>
      <c r="H112" s="963">
        <f t="shared" si="5"/>
        <v>0</v>
      </c>
      <c r="R112" s="981" t="s">
        <v>791</v>
      </c>
      <c r="S112" s="991"/>
      <c r="T112" s="989" t="s">
        <v>667</v>
      </c>
      <c r="U112" s="1048">
        <v>2</v>
      </c>
      <c r="V112" s="1058" t="s">
        <v>348</v>
      </c>
      <c r="W112" s="1045"/>
      <c r="AE112" s="981">
        <v>105</v>
      </c>
    </row>
    <row r="113" spans="1:31" ht="15" customHeight="1" x14ac:dyDescent="0.25">
      <c r="A113" s="96" t="s">
        <v>766</v>
      </c>
      <c r="B113" s="166" t="s">
        <v>694</v>
      </c>
      <c r="C113" s="917" t="s">
        <v>643</v>
      </c>
      <c r="H113" s="221">
        <f t="shared" si="5"/>
        <v>1</v>
      </c>
      <c r="R113" s="981" t="s">
        <v>792</v>
      </c>
      <c r="S113" s="991"/>
      <c r="T113" s="989" t="s">
        <v>668</v>
      </c>
      <c r="U113" s="1048">
        <v>2</v>
      </c>
      <c r="V113" s="1058" t="s">
        <v>348</v>
      </c>
      <c r="W113" s="1045"/>
      <c r="AE113" s="981">
        <v>106</v>
      </c>
    </row>
    <row r="114" spans="1:31" ht="15" customHeight="1" x14ac:dyDescent="0.25">
      <c r="A114" s="137" t="s">
        <v>172</v>
      </c>
      <c r="B114" s="834" t="s">
        <v>172</v>
      </c>
      <c r="C114" s="832" t="s">
        <v>155</v>
      </c>
      <c r="H114" s="963">
        <f t="shared" si="5"/>
        <v>0</v>
      </c>
      <c r="R114" s="981" t="s">
        <v>793</v>
      </c>
      <c r="S114" s="996" t="s">
        <v>374</v>
      </c>
      <c r="T114" s="994" t="s">
        <v>375</v>
      </c>
      <c r="U114" s="1048">
        <v>1</v>
      </c>
      <c r="V114" s="1058" t="s">
        <v>348</v>
      </c>
      <c r="W114" s="1045"/>
      <c r="AE114" s="981">
        <v>107</v>
      </c>
    </row>
    <row r="115" spans="1:31" ht="15" customHeight="1" x14ac:dyDescent="0.25">
      <c r="A115" s="96" t="s">
        <v>767</v>
      </c>
      <c r="B115" s="163" t="s">
        <v>694</v>
      </c>
      <c r="C115" s="917" t="s">
        <v>644</v>
      </c>
      <c r="H115" s="221">
        <f t="shared" si="5"/>
        <v>0</v>
      </c>
      <c r="R115" s="981" t="s">
        <v>794</v>
      </c>
      <c r="S115" s="996" t="s">
        <v>376</v>
      </c>
      <c r="T115" s="994" t="s">
        <v>375</v>
      </c>
      <c r="U115" s="1048" t="s">
        <v>236</v>
      </c>
      <c r="V115" s="1058" t="s">
        <v>348</v>
      </c>
      <c r="W115" s="1045"/>
      <c r="AE115" s="981">
        <v>108</v>
      </c>
    </row>
    <row r="116" spans="1:31" ht="15.75" customHeight="1" x14ac:dyDescent="0.25">
      <c r="A116" s="96" t="s">
        <v>768</v>
      </c>
      <c r="B116" s="163" t="s">
        <v>697</v>
      </c>
      <c r="C116" s="917" t="s">
        <v>920</v>
      </c>
      <c r="H116" s="221">
        <f t="shared" si="5"/>
        <v>0</v>
      </c>
      <c r="R116" s="981" t="s">
        <v>795</v>
      </c>
      <c r="S116" s="996" t="s">
        <v>180</v>
      </c>
      <c r="T116" s="994" t="s">
        <v>377</v>
      </c>
      <c r="U116" s="1048" t="s">
        <v>236</v>
      </c>
      <c r="V116" s="1058" t="s">
        <v>348</v>
      </c>
      <c r="W116" s="1045"/>
      <c r="AE116" s="981">
        <v>109</v>
      </c>
    </row>
    <row r="117" spans="1:31" ht="15" customHeight="1" x14ac:dyDescent="0.25">
      <c r="A117" s="96" t="s">
        <v>769</v>
      </c>
      <c r="B117" s="166" t="s">
        <v>698</v>
      </c>
      <c r="C117" s="917" t="s">
        <v>646</v>
      </c>
      <c r="H117" s="221">
        <f t="shared" si="5"/>
        <v>0</v>
      </c>
      <c r="R117" s="981"/>
      <c r="S117" s="987"/>
      <c r="T117" s="985"/>
      <c r="U117" s="1046"/>
      <c r="V117" s="1047"/>
      <c r="W117" s="1045"/>
      <c r="AE117" s="981">
        <v>110</v>
      </c>
    </row>
    <row r="118" spans="1:31" ht="15" customHeight="1" x14ac:dyDescent="0.25">
      <c r="A118" s="137" t="s">
        <v>173</v>
      </c>
      <c r="B118" s="834" t="s">
        <v>173</v>
      </c>
      <c r="C118" s="832" t="s">
        <v>156</v>
      </c>
      <c r="H118" s="963">
        <f t="shared" si="5"/>
        <v>0</v>
      </c>
      <c r="R118" s="981"/>
      <c r="S118" s="986" t="s">
        <v>378</v>
      </c>
      <c r="T118" s="985"/>
      <c r="U118" s="1046"/>
      <c r="V118" s="1047"/>
      <c r="W118" s="1045"/>
      <c r="AE118" s="981">
        <v>111</v>
      </c>
    </row>
    <row r="119" spans="1:31" ht="15" customHeight="1" thickBot="1" x14ac:dyDescent="0.3">
      <c r="A119" s="96" t="s">
        <v>770</v>
      </c>
      <c r="B119" s="231" t="s">
        <v>694</v>
      </c>
      <c r="C119" s="917" t="s">
        <v>369</v>
      </c>
      <c r="H119" s="221">
        <f t="shared" si="5"/>
        <v>1</v>
      </c>
      <c r="R119" s="981" t="s">
        <v>798</v>
      </c>
      <c r="S119" s="996" t="s">
        <v>181</v>
      </c>
      <c r="T119" s="994" t="s">
        <v>379</v>
      </c>
      <c r="U119" s="1048">
        <v>2</v>
      </c>
      <c r="V119" s="1058" t="s">
        <v>348</v>
      </c>
      <c r="W119" s="1045"/>
      <c r="AE119" s="981">
        <v>112</v>
      </c>
    </row>
    <row r="120" spans="1:31" ht="15" customHeight="1" thickBot="1" x14ac:dyDescent="0.3">
      <c r="A120" s="96" t="s">
        <v>887</v>
      </c>
      <c r="B120" s="201"/>
      <c r="C120" s="202" t="s">
        <v>215</v>
      </c>
      <c r="H120" s="226">
        <f t="shared" si="5"/>
        <v>0</v>
      </c>
      <c r="R120" s="981"/>
      <c r="S120" s="996" t="s">
        <v>182</v>
      </c>
      <c r="T120" s="1027" t="s">
        <v>852</v>
      </c>
      <c r="U120" s="1055"/>
      <c r="V120" s="1029"/>
      <c r="W120" s="1045"/>
      <c r="AE120" s="981">
        <v>113</v>
      </c>
    </row>
    <row r="121" spans="1:31" ht="15.75" thickBot="1" x14ac:dyDescent="0.3">
      <c r="A121" s="96"/>
      <c r="B121" s="96"/>
      <c r="C121" s="96"/>
      <c r="H121" s="96">
        <f t="shared" si="5"/>
        <v>0</v>
      </c>
      <c r="R121" s="981" t="s">
        <v>800</v>
      </c>
      <c r="S121" s="991"/>
      <c r="T121" s="989" t="s">
        <v>674</v>
      </c>
      <c r="U121" s="1048">
        <v>1</v>
      </c>
      <c r="V121" s="1058" t="s">
        <v>348</v>
      </c>
      <c r="W121" s="1045"/>
      <c r="AE121" s="981">
        <v>114</v>
      </c>
    </row>
    <row r="122" spans="1:31" ht="15.75" thickBot="1" x14ac:dyDescent="0.3">
      <c r="A122" s="96"/>
      <c r="B122" s="151"/>
      <c r="C122" s="152" t="s">
        <v>69</v>
      </c>
      <c r="H122" s="138">
        <f t="shared" si="5"/>
        <v>0</v>
      </c>
      <c r="R122" s="981" t="s">
        <v>801</v>
      </c>
      <c r="S122" s="991"/>
      <c r="T122" s="989" t="s">
        <v>675</v>
      </c>
      <c r="U122" s="1048">
        <v>1</v>
      </c>
      <c r="V122" s="1058" t="s">
        <v>348</v>
      </c>
      <c r="W122" s="1045"/>
      <c r="AE122" s="981">
        <v>115</v>
      </c>
    </row>
    <row r="123" spans="1:31" x14ac:dyDescent="0.25">
      <c r="A123" s="137" t="s">
        <v>174</v>
      </c>
      <c r="B123" s="858" t="s">
        <v>174</v>
      </c>
      <c r="C123" s="859" t="s">
        <v>464</v>
      </c>
      <c r="H123" s="961">
        <f t="shared" si="5"/>
        <v>0</v>
      </c>
      <c r="R123" s="981"/>
      <c r="S123" s="996" t="s">
        <v>853</v>
      </c>
      <c r="T123" s="999" t="s">
        <v>854</v>
      </c>
      <c r="U123" s="1057"/>
      <c r="V123" s="1065"/>
      <c r="W123" s="1045"/>
      <c r="AE123" s="981">
        <v>116</v>
      </c>
    </row>
    <row r="124" spans="1:31" x14ac:dyDescent="0.25">
      <c r="A124" s="137"/>
      <c r="B124" s="166" t="s">
        <v>694</v>
      </c>
      <c r="C124" s="940" t="s">
        <v>647</v>
      </c>
      <c r="H124" s="221">
        <f t="shared" si="5"/>
        <v>0</v>
      </c>
      <c r="R124" s="981" t="s">
        <v>803</v>
      </c>
      <c r="S124" s="991"/>
      <c r="T124" s="989" t="s">
        <v>677</v>
      </c>
      <c r="U124" s="1048" t="s">
        <v>236</v>
      </c>
      <c r="V124" s="1058" t="s">
        <v>348</v>
      </c>
      <c r="W124" s="1045"/>
      <c r="AE124" s="981">
        <v>117</v>
      </c>
    </row>
    <row r="125" spans="1:31" x14ac:dyDescent="0.25">
      <c r="A125" s="96" t="s">
        <v>772</v>
      </c>
      <c r="B125" s="166" t="s">
        <v>697</v>
      </c>
      <c r="C125" s="917" t="s">
        <v>648</v>
      </c>
      <c r="H125" s="221">
        <f t="shared" si="5"/>
        <v>3</v>
      </c>
      <c r="R125" s="981" t="s">
        <v>804</v>
      </c>
      <c r="S125" s="991"/>
      <c r="T125" s="989" t="s">
        <v>678</v>
      </c>
      <c r="U125" s="1048" t="s">
        <v>236</v>
      </c>
      <c r="V125" s="1058" t="s">
        <v>348</v>
      </c>
      <c r="W125" s="1045"/>
      <c r="AE125" s="981">
        <v>118</v>
      </c>
    </row>
    <row r="126" spans="1:31" x14ac:dyDescent="0.25">
      <c r="A126" s="96" t="s">
        <v>773</v>
      </c>
      <c r="B126" s="188" t="s">
        <v>698</v>
      </c>
      <c r="C126" s="917" t="s">
        <v>649</v>
      </c>
      <c r="H126" s="221">
        <f t="shared" si="5"/>
        <v>2</v>
      </c>
      <c r="R126" s="981"/>
      <c r="S126" s="996" t="s">
        <v>183</v>
      </c>
      <c r="T126" s="1027" t="s">
        <v>855</v>
      </c>
      <c r="U126" s="1055"/>
      <c r="V126" s="1029"/>
      <c r="W126" s="1045"/>
      <c r="AE126" s="981">
        <v>119</v>
      </c>
    </row>
    <row r="127" spans="1:31" x14ac:dyDescent="0.25">
      <c r="A127" s="137" t="s">
        <v>479</v>
      </c>
      <c r="B127" s="946" t="s">
        <v>479</v>
      </c>
      <c r="C127" s="832" t="s">
        <v>465</v>
      </c>
      <c r="H127" s="963">
        <f t="shared" si="5"/>
        <v>0</v>
      </c>
      <c r="R127" s="981" t="s">
        <v>806</v>
      </c>
      <c r="S127" s="991"/>
      <c r="T127" s="989" t="s">
        <v>680</v>
      </c>
      <c r="U127" s="1048">
        <v>1</v>
      </c>
      <c r="V127" s="1058" t="s">
        <v>348</v>
      </c>
      <c r="W127" s="1045"/>
      <c r="AE127" s="981">
        <v>120</v>
      </c>
    </row>
    <row r="128" spans="1:31" x14ac:dyDescent="0.25">
      <c r="A128" s="137"/>
      <c r="B128" s="188" t="s">
        <v>694</v>
      </c>
      <c r="C128" s="940" t="s">
        <v>650</v>
      </c>
      <c r="H128" s="221">
        <f t="shared" si="5"/>
        <v>0</v>
      </c>
      <c r="R128" s="981" t="s">
        <v>807</v>
      </c>
      <c r="S128" s="991"/>
      <c r="T128" s="989" t="s">
        <v>681</v>
      </c>
      <c r="U128" s="1048">
        <v>3</v>
      </c>
      <c r="V128" s="1058" t="s">
        <v>348</v>
      </c>
      <c r="W128" s="1045"/>
      <c r="AE128" s="981">
        <v>121</v>
      </c>
    </row>
    <row r="129" spans="1:31" x14ac:dyDescent="0.25">
      <c r="A129" s="96" t="s">
        <v>775</v>
      </c>
      <c r="B129" s="188" t="s">
        <v>697</v>
      </c>
      <c r="C129" s="917" t="s">
        <v>651</v>
      </c>
      <c r="H129" s="221">
        <f t="shared" si="5"/>
        <v>1</v>
      </c>
      <c r="R129" s="981"/>
      <c r="S129" s="996" t="s">
        <v>184</v>
      </c>
      <c r="T129" s="1027" t="s">
        <v>380</v>
      </c>
      <c r="U129" s="1055"/>
      <c r="V129" s="1029"/>
      <c r="W129" s="1045"/>
      <c r="AE129" s="981">
        <v>122</v>
      </c>
    </row>
    <row r="130" spans="1:31" x14ac:dyDescent="0.25">
      <c r="A130" s="96" t="s">
        <v>776</v>
      </c>
      <c r="B130" s="188" t="s">
        <v>698</v>
      </c>
      <c r="C130" s="917" t="s">
        <v>652</v>
      </c>
      <c r="H130" s="221">
        <f t="shared" si="5"/>
        <v>2</v>
      </c>
      <c r="R130" s="981" t="s">
        <v>809</v>
      </c>
      <c r="S130" s="991"/>
      <c r="T130" s="989" t="s">
        <v>683</v>
      </c>
      <c r="U130" s="1048">
        <v>1</v>
      </c>
      <c r="V130" s="1058" t="s">
        <v>348</v>
      </c>
      <c r="W130" s="1045"/>
      <c r="AE130" s="981">
        <v>123</v>
      </c>
    </row>
    <row r="131" spans="1:31" x14ac:dyDescent="0.25">
      <c r="A131" s="137" t="s">
        <v>175</v>
      </c>
      <c r="B131" s="946" t="s">
        <v>175</v>
      </c>
      <c r="C131" s="832" t="s">
        <v>466</v>
      </c>
      <c r="H131" s="963">
        <f t="shared" si="5"/>
        <v>0</v>
      </c>
      <c r="R131" s="981" t="s">
        <v>810</v>
      </c>
      <c r="S131" s="991"/>
      <c r="T131" s="989" t="s">
        <v>684</v>
      </c>
      <c r="U131" s="1048">
        <v>1</v>
      </c>
      <c r="V131" s="1058" t="s">
        <v>348</v>
      </c>
      <c r="W131" s="1045"/>
      <c r="AE131" s="981">
        <v>124</v>
      </c>
    </row>
    <row r="132" spans="1:31" x14ac:dyDescent="0.25">
      <c r="A132" s="96"/>
      <c r="B132" s="188" t="s">
        <v>694</v>
      </c>
      <c r="C132" s="945" t="s">
        <v>653</v>
      </c>
      <c r="H132" s="221">
        <f t="shared" si="5"/>
        <v>0</v>
      </c>
      <c r="R132" s="981" t="s">
        <v>811</v>
      </c>
      <c r="S132" s="996" t="s">
        <v>185</v>
      </c>
      <c r="T132" s="994" t="s">
        <v>856</v>
      </c>
      <c r="U132" s="1048">
        <v>1</v>
      </c>
      <c r="V132" s="1058" t="s">
        <v>348</v>
      </c>
      <c r="W132" s="1045"/>
      <c r="AE132" s="981">
        <v>125</v>
      </c>
    </row>
    <row r="133" spans="1:31" x14ac:dyDescent="0.25">
      <c r="A133" s="96" t="s">
        <v>778</v>
      </c>
      <c r="B133" s="188" t="s">
        <v>697</v>
      </c>
      <c r="C133" s="917" t="s">
        <v>654</v>
      </c>
      <c r="H133" s="221">
        <f t="shared" si="5"/>
        <v>1</v>
      </c>
      <c r="R133" s="981" t="s">
        <v>813</v>
      </c>
      <c r="S133" s="997" t="s">
        <v>857</v>
      </c>
      <c r="T133" s="998" t="s">
        <v>858</v>
      </c>
      <c r="U133" s="1048">
        <v>2</v>
      </c>
      <c r="V133" s="1058" t="s">
        <v>348</v>
      </c>
      <c r="W133" s="1045"/>
      <c r="AE133" s="981">
        <v>126</v>
      </c>
    </row>
    <row r="134" spans="1:31" x14ac:dyDescent="0.25">
      <c r="A134" s="96" t="s">
        <v>779</v>
      </c>
      <c r="B134" s="188" t="s">
        <v>698</v>
      </c>
      <c r="C134" s="917" t="s">
        <v>655</v>
      </c>
      <c r="H134" s="221">
        <f t="shared" si="5"/>
        <v>2</v>
      </c>
      <c r="R134" s="981"/>
      <c r="S134" s="997" t="s">
        <v>859</v>
      </c>
      <c r="T134" s="1035" t="s">
        <v>860</v>
      </c>
      <c r="U134" s="1057"/>
      <c r="V134" s="1065"/>
      <c r="W134" s="1045"/>
      <c r="AE134" s="981">
        <v>127</v>
      </c>
    </row>
    <row r="135" spans="1:31" x14ac:dyDescent="0.25">
      <c r="A135" s="137" t="s">
        <v>176</v>
      </c>
      <c r="B135" s="946" t="s">
        <v>176</v>
      </c>
      <c r="C135" s="832" t="s">
        <v>467</v>
      </c>
      <c r="H135" s="963">
        <f t="shared" si="5"/>
        <v>0</v>
      </c>
      <c r="R135" s="981" t="s">
        <v>815</v>
      </c>
      <c r="S135" s="993"/>
      <c r="T135" s="989" t="s">
        <v>689</v>
      </c>
      <c r="U135" s="1048">
        <v>1</v>
      </c>
      <c r="V135" s="1058" t="s">
        <v>348</v>
      </c>
      <c r="W135" s="1045"/>
      <c r="AE135" s="981">
        <v>128</v>
      </c>
    </row>
    <row r="136" spans="1:31" s="981" customFormat="1" x14ac:dyDescent="0.25">
      <c r="A136" s="96"/>
      <c r="B136" s="188" t="s">
        <v>694</v>
      </c>
      <c r="C136" s="940" t="s">
        <v>656</v>
      </c>
      <c r="D136"/>
      <c r="E136"/>
      <c r="F136" s="30"/>
      <c r="G136"/>
      <c r="H136" s="221">
        <f t="shared" ref="H136:H198" si="9">SUMIF($R$7:$R$182,A136,$U$7:$U$182)</f>
        <v>0</v>
      </c>
      <c r="I136"/>
      <c r="J136"/>
      <c r="K136"/>
      <c r="R136" s="981" t="s">
        <v>816</v>
      </c>
      <c r="S136" s="993"/>
      <c r="T136" s="989" t="s">
        <v>690</v>
      </c>
      <c r="U136" s="1048">
        <v>1</v>
      </c>
      <c r="V136" s="1058" t="s">
        <v>348</v>
      </c>
      <c r="W136" s="1045"/>
      <c r="X136"/>
      <c r="Y136"/>
      <c r="Z136"/>
      <c r="AA136"/>
      <c r="AB136"/>
      <c r="AC136"/>
      <c r="AD136"/>
      <c r="AE136" s="981">
        <v>129</v>
      </c>
    </row>
    <row r="137" spans="1:31" x14ac:dyDescent="0.25">
      <c r="A137" s="96" t="s">
        <v>781</v>
      </c>
      <c r="B137" s="188" t="s">
        <v>697</v>
      </c>
      <c r="C137" s="917" t="s">
        <v>657</v>
      </c>
      <c r="D137" s="981"/>
      <c r="E137" s="981"/>
      <c r="F137" s="981"/>
      <c r="G137" s="981"/>
      <c r="H137" s="221">
        <f t="shared" si="9"/>
        <v>1</v>
      </c>
      <c r="I137" s="981"/>
      <c r="J137" s="981"/>
      <c r="K137" s="981"/>
      <c r="R137" s="981"/>
      <c r="S137" s="993"/>
      <c r="T137" s="995"/>
      <c r="U137" s="1054"/>
      <c r="V137" s="1047"/>
      <c r="W137" s="1045"/>
      <c r="AE137" s="981">
        <v>130</v>
      </c>
    </row>
    <row r="138" spans="1:31" x14ac:dyDescent="0.25">
      <c r="A138" s="96" t="s">
        <v>782</v>
      </c>
      <c r="B138" s="188" t="s">
        <v>698</v>
      </c>
      <c r="C138" s="917" t="s">
        <v>658</v>
      </c>
      <c r="H138" s="221">
        <f t="shared" si="9"/>
        <v>1</v>
      </c>
      <c r="R138" s="981"/>
      <c r="S138" s="986" t="s">
        <v>381</v>
      </c>
      <c r="T138" s="985"/>
      <c r="U138" s="1046"/>
      <c r="V138" s="1047"/>
      <c r="W138" s="1045"/>
      <c r="AE138" s="981">
        <v>131</v>
      </c>
    </row>
    <row r="139" spans="1:31" x14ac:dyDescent="0.25">
      <c r="A139" s="96" t="s">
        <v>783</v>
      </c>
      <c r="B139" s="188" t="s">
        <v>696</v>
      </c>
      <c r="C139" s="1011" t="s">
        <v>894</v>
      </c>
      <c r="H139" s="1036">
        <f>IF(SUMIF($R$7:$R$182,A139,$U$7:$U$182)=2,1,SUMIF($R$7:$R$182,A139,$U$7:$U$182))</f>
        <v>1</v>
      </c>
      <c r="I139" t="s">
        <v>946</v>
      </c>
      <c r="R139" s="981" t="s">
        <v>817</v>
      </c>
      <c r="S139" s="996" t="s">
        <v>382</v>
      </c>
      <c r="T139" s="994" t="s">
        <v>383</v>
      </c>
      <c r="U139" s="1048">
        <v>3</v>
      </c>
      <c r="V139" s="1058" t="s">
        <v>348</v>
      </c>
      <c r="W139" s="1045"/>
      <c r="AE139" s="981">
        <v>132</v>
      </c>
    </row>
    <row r="140" spans="1:31" x14ac:dyDescent="0.25">
      <c r="A140" s="96" t="s">
        <v>896</v>
      </c>
      <c r="B140" s="188" t="s">
        <v>695</v>
      </c>
      <c r="C140" s="1011" t="s">
        <v>895</v>
      </c>
      <c r="H140" s="1036">
        <f>IF(SUMIF($R$7:$R$182,A139,$U$7:$U$182)=2,1,0)</f>
        <v>1</v>
      </c>
      <c r="I140" s="1043" t="s">
        <v>946</v>
      </c>
      <c r="R140" s="981" t="s">
        <v>820</v>
      </c>
      <c r="S140" s="996" t="s">
        <v>384</v>
      </c>
      <c r="T140" s="994" t="s">
        <v>861</v>
      </c>
      <c r="U140" s="1048">
        <v>2</v>
      </c>
      <c r="V140" s="1058" t="s">
        <v>348</v>
      </c>
      <c r="W140" s="1045"/>
      <c r="AE140" s="981">
        <v>133</v>
      </c>
    </row>
    <row r="141" spans="1:31" x14ac:dyDescent="0.25">
      <c r="A141" s="137" t="s">
        <v>177</v>
      </c>
      <c r="B141" s="946" t="s">
        <v>177</v>
      </c>
      <c r="C141" s="832" t="s">
        <v>468</v>
      </c>
      <c r="H141" s="963">
        <f t="shared" si="9"/>
        <v>0</v>
      </c>
      <c r="R141" s="981" t="s">
        <v>822</v>
      </c>
      <c r="S141" s="996" t="s">
        <v>386</v>
      </c>
      <c r="T141" s="994" t="s">
        <v>387</v>
      </c>
      <c r="U141" s="1048">
        <v>1</v>
      </c>
      <c r="V141" s="1058" t="s">
        <v>348</v>
      </c>
      <c r="W141" s="1045"/>
      <c r="AE141" s="981">
        <v>134</v>
      </c>
    </row>
    <row r="142" spans="1:31" x14ac:dyDescent="0.25">
      <c r="A142" s="96" t="s">
        <v>784</v>
      </c>
      <c r="B142" s="947" t="s">
        <v>694</v>
      </c>
      <c r="C142" s="917" t="s">
        <v>660</v>
      </c>
      <c r="H142" s="221">
        <f t="shared" si="9"/>
        <v>1</v>
      </c>
      <c r="R142" s="981" t="s">
        <v>824</v>
      </c>
      <c r="S142" s="996" t="s">
        <v>388</v>
      </c>
      <c r="T142" s="994" t="s">
        <v>389</v>
      </c>
      <c r="U142" s="1048">
        <v>1</v>
      </c>
      <c r="V142" s="1058" t="s">
        <v>348</v>
      </c>
      <c r="W142" s="1045"/>
      <c r="AE142" s="981">
        <v>135</v>
      </c>
    </row>
    <row r="143" spans="1:31" x14ac:dyDescent="0.25">
      <c r="A143" s="96" t="s">
        <v>785</v>
      </c>
      <c r="B143" s="947" t="s">
        <v>697</v>
      </c>
      <c r="C143" s="917" t="s">
        <v>661</v>
      </c>
      <c r="H143" s="221">
        <f t="shared" si="9"/>
        <v>1</v>
      </c>
      <c r="R143" s="981"/>
      <c r="S143" s="987"/>
      <c r="T143" s="985"/>
      <c r="U143" s="1046"/>
      <c r="V143" s="1047"/>
      <c r="W143" s="1045"/>
      <c r="AE143" s="981">
        <v>136</v>
      </c>
    </row>
    <row r="144" spans="1:31" x14ac:dyDescent="0.25">
      <c r="A144" s="96" t="s">
        <v>786</v>
      </c>
      <c r="B144" s="947" t="s">
        <v>698</v>
      </c>
      <c r="C144" s="917" t="s">
        <v>662</v>
      </c>
      <c r="H144" s="221">
        <f t="shared" si="9"/>
        <v>1</v>
      </c>
      <c r="R144" s="981"/>
      <c r="S144" s="986" t="s">
        <v>390</v>
      </c>
      <c r="T144" s="985"/>
      <c r="U144" s="1046"/>
      <c r="V144" s="1047"/>
      <c r="W144" s="1045"/>
      <c r="AE144" s="981">
        <v>137</v>
      </c>
    </row>
    <row r="145" spans="1:31" x14ac:dyDescent="0.25">
      <c r="A145" s="137" t="s">
        <v>480</v>
      </c>
      <c r="B145" s="946" t="s">
        <v>480</v>
      </c>
      <c r="C145" s="832" t="s">
        <v>469</v>
      </c>
      <c r="H145" s="963">
        <f t="shared" si="9"/>
        <v>0</v>
      </c>
      <c r="R145" s="981" t="s">
        <v>191</v>
      </c>
      <c r="S145" s="991" t="s">
        <v>549</v>
      </c>
      <c r="T145" s="989" t="s">
        <v>862</v>
      </c>
      <c r="U145" s="1048">
        <v>1</v>
      </c>
      <c r="V145" s="1058" t="s">
        <v>348</v>
      </c>
      <c r="W145" s="1045"/>
      <c r="AE145" s="981">
        <v>138</v>
      </c>
    </row>
    <row r="146" spans="1:31" x14ac:dyDescent="0.25">
      <c r="A146" s="96" t="s">
        <v>787</v>
      </c>
      <c r="B146" s="947" t="s">
        <v>694</v>
      </c>
      <c r="C146" s="917" t="s">
        <v>663</v>
      </c>
      <c r="H146" s="221">
        <f t="shared" si="9"/>
        <v>1</v>
      </c>
      <c r="R146" s="981" t="s">
        <v>192</v>
      </c>
      <c r="S146" s="991" t="s">
        <v>863</v>
      </c>
      <c r="T146" s="989" t="s">
        <v>864</v>
      </c>
      <c r="U146" s="1048"/>
      <c r="V146" s="1058" t="s">
        <v>348</v>
      </c>
      <c r="W146" s="1045"/>
      <c r="AE146" s="981">
        <v>139</v>
      </c>
    </row>
    <row r="147" spans="1:31" x14ac:dyDescent="0.25">
      <c r="A147" s="96" t="s">
        <v>788</v>
      </c>
      <c r="B147" s="947" t="s">
        <v>697</v>
      </c>
      <c r="C147" s="917" t="s">
        <v>664</v>
      </c>
      <c r="H147" s="221">
        <f t="shared" si="9"/>
        <v>1</v>
      </c>
      <c r="R147" s="981" t="s">
        <v>193</v>
      </c>
      <c r="S147" s="991" t="s">
        <v>863</v>
      </c>
      <c r="T147" s="989" t="s">
        <v>865</v>
      </c>
      <c r="U147" s="1048">
        <v>1</v>
      </c>
      <c r="V147" s="1058" t="s">
        <v>348</v>
      </c>
      <c r="W147" s="1045"/>
      <c r="AE147" s="981">
        <v>140</v>
      </c>
    </row>
    <row r="148" spans="1:31" ht="15.75" thickBot="1" x14ac:dyDescent="0.3">
      <c r="A148" s="96" t="s">
        <v>789</v>
      </c>
      <c r="B148" s="948" t="s">
        <v>698</v>
      </c>
      <c r="C148" s="950" t="s">
        <v>665</v>
      </c>
      <c r="H148" s="221">
        <f t="shared" si="9"/>
        <v>1</v>
      </c>
      <c r="R148" s="981" t="s">
        <v>194</v>
      </c>
      <c r="S148" s="991" t="s">
        <v>543</v>
      </c>
      <c r="T148" s="989" t="s">
        <v>866</v>
      </c>
      <c r="U148" s="1048">
        <v>1</v>
      </c>
      <c r="V148" s="1058" t="s">
        <v>348</v>
      </c>
      <c r="W148" s="1045"/>
      <c r="AE148" s="981">
        <v>141</v>
      </c>
    </row>
    <row r="149" spans="1:31" ht="15.75" thickBot="1" x14ac:dyDescent="0.3">
      <c r="A149" s="96" t="s">
        <v>888</v>
      </c>
      <c r="B149" s="711"/>
      <c r="C149" s="710" t="s">
        <v>215</v>
      </c>
      <c r="H149" s="226">
        <f t="shared" si="9"/>
        <v>0</v>
      </c>
      <c r="R149" s="981" t="s">
        <v>195</v>
      </c>
      <c r="S149" s="991" t="s">
        <v>574</v>
      </c>
      <c r="T149" s="989" t="s">
        <v>867</v>
      </c>
      <c r="U149" s="1048">
        <v>4</v>
      </c>
      <c r="V149" s="1058" t="s">
        <v>348</v>
      </c>
      <c r="W149" s="1045"/>
      <c r="AE149" s="981">
        <v>142</v>
      </c>
    </row>
    <row r="150" spans="1:31" ht="15.75" thickBot="1" x14ac:dyDescent="0.3">
      <c r="A150" s="96"/>
      <c r="B150" s="96"/>
      <c r="C150" s="96"/>
      <c r="H150" s="96">
        <f t="shared" si="9"/>
        <v>0</v>
      </c>
      <c r="R150" s="981" t="s">
        <v>196</v>
      </c>
      <c r="S150" s="991" t="s">
        <v>574</v>
      </c>
      <c r="T150" s="989" t="s">
        <v>868</v>
      </c>
      <c r="U150" s="1048">
        <v>1</v>
      </c>
      <c r="V150" s="1058" t="s">
        <v>348</v>
      </c>
      <c r="W150" s="1045"/>
      <c r="AE150" s="981">
        <v>143</v>
      </c>
    </row>
    <row r="151" spans="1:31" ht="15.75" thickBot="1" x14ac:dyDescent="0.3">
      <c r="A151" s="96"/>
      <c r="B151" s="145"/>
      <c r="C151" s="146" t="s">
        <v>70</v>
      </c>
      <c r="H151" s="138">
        <f t="shared" si="9"/>
        <v>0</v>
      </c>
      <c r="R151" s="981" t="s">
        <v>197</v>
      </c>
      <c r="S151" s="991" t="s">
        <v>869</v>
      </c>
      <c r="T151" s="989" t="s">
        <v>870</v>
      </c>
      <c r="U151" s="1048">
        <v>1</v>
      </c>
      <c r="V151" s="1058" t="s">
        <v>348</v>
      </c>
      <c r="W151" s="1045"/>
      <c r="AE151" s="981">
        <v>144</v>
      </c>
    </row>
    <row r="152" spans="1:31" x14ac:dyDescent="0.25">
      <c r="A152" s="137" t="s">
        <v>178</v>
      </c>
      <c r="B152" s="833" t="s">
        <v>178</v>
      </c>
      <c r="C152" s="831" t="s">
        <v>160</v>
      </c>
      <c r="H152" s="961">
        <f t="shared" si="9"/>
        <v>0</v>
      </c>
      <c r="R152" s="981" t="s">
        <v>225</v>
      </c>
      <c r="S152" s="991" t="s">
        <v>4</v>
      </c>
      <c r="T152" s="989" t="s">
        <v>871</v>
      </c>
      <c r="U152" s="1048">
        <v>1</v>
      </c>
      <c r="V152" s="1058" t="s">
        <v>348</v>
      </c>
      <c r="W152" s="1045"/>
      <c r="AE152" s="981">
        <v>145</v>
      </c>
    </row>
    <row r="153" spans="1:31" x14ac:dyDescent="0.25">
      <c r="A153" s="96" t="s">
        <v>790</v>
      </c>
      <c r="B153" s="163" t="s">
        <v>694</v>
      </c>
      <c r="C153" s="917" t="s">
        <v>666</v>
      </c>
      <c r="H153" s="221">
        <f t="shared" si="9"/>
        <v>1</v>
      </c>
      <c r="R153" s="981" t="s">
        <v>255</v>
      </c>
      <c r="S153" s="991" t="s">
        <v>552</v>
      </c>
      <c r="T153" s="989" t="s">
        <v>872</v>
      </c>
      <c r="U153" s="1048">
        <v>1</v>
      </c>
      <c r="V153" s="1058" t="s">
        <v>348</v>
      </c>
      <c r="W153" s="1045"/>
      <c r="AE153" s="981">
        <v>146</v>
      </c>
    </row>
    <row r="154" spans="1:31" x14ac:dyDescent="0.25">
      <c r="A154" s="96" t="s">
        <v>791</v>
      </c>
      <c r="B154" s="163" t="s">
        <v>697</v>
      </c>
      <c r="C154" s="917" t="s">
        <v>667</v>
      </c>
      <c r="H154" s="221">
        <f t="shared" si="9"/>
        <v>2</v>
      </c>
      <c r="R154" s="981" t="s">
        <v>475</v>
      </c>
      <c r="S154" s="982" t="s">
        <v>554</v>
      </c>
      <c r="T154" s="989" t="s">
        <v>873</v>
      </c>
      <c r="U154" s="1048">
        <v>1</v>
      </c>
      <c r="V154" s="1058" t="s">
        <v>348</v>
      </c>
      <c r="W154" s="1045"/>
      <c r="AE154" s="981">
        <v>147</v>
      </c>
    </row>
    <row r="155" spans="1:31" x14ac:dyDescent="0.25">
      <c r="A155" s="96" t="s">
        <v>792</v>
      </c>
      <c r="B155" s="163" t="s">
        <v>698</v>
      </c>
      <c r="C155" s="917" t="s">
        <v>668</v>
      </c>
      <c r="H155" s="221">
        <f t="shared" si="9"/>
        <v>2</v>
      </c>
      <c r="R155" s="981" t="s">
        <v>476</v>
      </c>
      <c r="S155" s="982" t="s">
        <v>874</v>
      </c>
      <c r="T155" s="989" t="s">
        <v>875</v>
      </c>
      <c r="U155" s="1048">
        <v>1</v>
      </c>
      <c r="V155" s="1058" t="s">
        <v>348</v>
      </c>
      <c r="W155" s="1045"/>
      <c r="AE155" s="981">
        <v>148</v>
      </c>
    </row>
    <row r="156" spans="1:31" x14ac:dyDescent="0.25">
      <c r="A156" s="96"/>
      <c r="B156" s="701" t="s">
        <v>179</v>
      </c>
      <c r="C156" s="702"/>
      <c r="H156" s="956">
        <f t="shared" si="9"/>
        <v>0</v>
      </c>
      <c r="R156" s="981" t="s">
        <v>477</v>
      </c>
      <c r="S156" s="982" t="s">
        <v>876</v>
      </c>
      <c r="T156" s="989" t="s">
        <v>877</v>
      </c>
      <c r="U156" s="1048">
        <v>1</v>
      </c>
      <c r="V156" s="1058" t="s">
        <v>348</v>
      </c>
      <c r="W156" s="1045"/>
      <c r="AE156" s="981">
        <v>149</v>
      </c>
    </row>
    <row r="157" spans="1:31" x14ac:dyDescent="0.25">
      <c r="A157" s="137" t="s">
        <v>374</v>
      </c>
      <c r="B157" s="834" t="s">
        <v>374</v>
      </c>
      <c r="C157" s="832" t="s">
        <v>796</v>
      </c>
      <c r="H157" s="221">
        <f t="shared" si="9"/>
        <v>0</v>
      </c>
      <c r="R157" s="981" t="s">
        <v>478</v>
      </c>
      <c r="S157" s="982" t="s">
        <v>878</v>
      </c>
      <c r="T157" s="989" t="s">
        <v>879</v>
      </c>
      <c r="U157" s="1048">
        <v>1</v>
      </c>
      <c r="V157" s="1058" t="s">
        <v>348</v>
      </c>
      <c r="W157" s="1045"/>
      <c r="AE157" s="981">
        <v>150</v>
      </c>
    </row>
    <row r="158" spans="1:31" x14ac:dyDescent="0.25">
      <c r="A158" s="96" t="s">
        <v>793</v>
      </c>
      <c r="B158" s="166" t="s">
        <v>694</v>
      </c>
      <c r="C158" s="917" t="s">
        <v>375</v>
      </c>
      <c r="H158" s="221">
        <f>SUMIF($R$7:$R$182,A158,$U$7:$U$182)</f>
        <v>1</v>
      </c>
      <c r="R158" s="981" t="s">
        <v>699</v>
      </c>
      <c r="S158" s="982" t="s">
        <v>859</v>
      </c>
      <c r="T158" s="989" t="s">
        <v>880</v>
      </c>
      <c r="U158" s="1048">
        <v>1</v>
      </c>
      <c r="V158" s="1058" t="s">
        <v>348</v>
      </c>
      <c r="W158" s="1045"/>
      <c r="AE158" s="981">
        <v>151</v>
      </c>
    </row>
    <row r="159" spans="1:31" x14ac:dyDescent="0.25">
      <c r="A159" s="137" t="s">
        <v>376</v>
      </c>
      <c r="B159" s="834" t="s">
        <v>376</v>
      </c>
      <c r="C159" s="832" t="s">
        <v>797</v>
      </c>
      <c r="H159" s="963">
        <f t="shared" si="9"/>
        <v>0</v>
      </c>
      <c r="R159" s="981"/>
      <c r="T159" s="981"/>
      <c r="U159" s="981"/>
      <c r="V159" s="1047"/>
      <c r="W159" s="1045"/>
      <c r="Z159">
        <v>2</v>
      </c>
      <c r="AE159" s="981">
        <v>152</v>
      </c>
    </row>
    <row r="160" spans="1:31" x14ac:dyDescent="0.25">
      <c r="A160" s="96" t="s">
        <v>794</v>
      </c>
      <c r="B160" s="166" t="s">
        <v>694</v>
      </c>
      <c r="C160" s="917" t="s">
        <v>669</v>
      </c>
      <c r="H160" s="221">
        <f t="shared" si="9"/>
        <v>0</v>
      </c>
      <c r="T160" s="981"/>
      <c r="U160" s="981"/>
      <c r="V160" s="1047"/>
      <c r="W160" s="1045"/>
      <c r="AE160" s="981">
        <v>153</v>
      </c>
    </row>
    <row r="161" spans="1:31" x14ac:dyDescent="0.25">
      <c r="A161" s="137" t="s">
        <v>180</v>
      </c>
      <c r="B161" s="834" t="s">
        <v>180</v>
      </c>
      <c r="C161" s="832" t="s">
        <v>671</v>
      </c>
      <c r="H161" s="963">
        <f t="shared" si="9"/>
        <v>0</v>
      </c>
      <c r="T161" s="981"/>
      <c r="U161" s="981"/>
      <c r="V161" s="1047"/>
      <c r="W161" s="1045"/>
      <c r="AE161" s="981">
        <v>154</v>
      </c>
    </row>
    <row r="162" spans="1:31" ht="15.75" thickBot="1" x14ac:dyDescent="0.3">
      <c r="A162" s="96" t="s">
        <v>795</v>
      </c>
      <c r="B162" s="231" t="s">
        <v>694</v>
      </c>
      <c r="C162" s="917" t="s">
        <v>670</v>
      </c>
      <c r="H162" s="221">
        <f t="shared" si="9"/>
        <v>0</v>
      </c>
      <c r="T162" s="981"/>
      <c r="U162" s="981"/>
      <c r="V162" s="1047"/>
      <c r="W162" s="1045"/>
      <c r="AE162" s="981">
        <v>155</v>
      </c>
    </row>
    <row r="163" spans="1:31" ht="15.75" thickBot="1" x14ac:dyDescent="0.3">
      <c r="A163" s="96" t="s">
        <v>889</v>
      </c>
      <c r="B163" s="201"/>
      <c r="C163" s="202" t="s">
        <v>215</v>
      </c>
      <c r="H163" s="226">
        <f t="shared" si="9"/>
        <v>0</v>
      </c>
      <c r="T163" s="981"/>
      <c r="U163" s="981"/>
      <c r="V163" s="1047"/>
      <c r="W163" s="1045"/>
      <c r="AE163" s="981">
        <v>156</v>
      </c>
    </row>
    <row r="164" spans="1:31" ht="15.75" thickBot="1" x14ac:dyDescent="0.3">
      <c r="A164" s="96"/>
      <c r="B164" s="96"/>
      <c r="C164" s="96"/>
      <c r="H164" s="96">
        <f t="shared" si="9"/>
        <v>0</v>
      </c>
      <c r="T164" s="981"/>
      <c r="U164" s="981"/>
      <c r="V164" s="1047"/>
      <c r="W164" s="1045"/>
      <c r="AE164" s="981">
        <v>157</v>
      </c>
    </row>
    <row r="165" spans="1:31" ht="15.75" thickBot="1" x14ac:dyDescent="0.3">
      <c r="A165" s="96"/>
      <c r="B165" s="151"/>
      <c r="C165" s="152" t="s">
        <v>226</v>
      </c>
      <c r="H165" s="138">
        <f t="shared" si="9"/>
        <v>0</v>
      </c>
      <c r="T165" s="981"/>
      <c r="U165" s="981"/>
      <c r="V165" s="1047"/>
      <c r="W165" s="1045"/>
    </row>
    <row r="166" spans="1:31" x14ac:dyDescent="0.25">
      <c r="A166" s="137" t="s">
        <v>181</v>
      </c>
      <c r="B166" s="858" t="s">
        <v>181</v>
      </c>
      <c r="C166" s="859" t="s">
        <v>161</v>
      </c>
      <c r="H166" s="961">
        <f t="shared" si="9"/>
        <v>0</v>
      </c>
      <c r="T166" s="981"/>
      <c r="U166" s="981"/>
      <c r="V166" s="1047"/>
      <c r="W166" s="1045"/>
    </row>
    <row r="167" spans="1:31" x14ac:dyDescent="0.25">
      <c r="A167" s="96" t="s">
        <v>798</v>
      </c>
      <c r="B167" s="166" t="s">
        <v>694</v>
      </c>
      <c r="C167" s="917" t="s">
        <v>672</v>
      </c>
      <c r="H167" s="221">
        <f t="shared" si="9"/>
        <v>2</v>
      </c>
      <c r="T167" s="981"/>
      <c r="U167" s="981"/>
      <c r="V167" s="1047"/>
      <c r="W167" s="1045"/>
    </row>
    <row r="168" spans="1:31" x14ac:dyDescent="0.25">
      <c r="A168" s="137" t="s">
        <v>182</v>
      </c>
      <c r="B168" s="834" t="s">
        <v>182</v>
      </c>
      <c r="C168" s="832" t="s">
        <v>470</v>
      </c>
      <c r="H168" s="963">
        <f t="shared" si="9"/>
        <v>0</v>
      </c>
      <c r="T168" s="981"/>
      <c r="U168" s="981"/>
      <c r="V168" s="1047"/>
      <c r="W168" s="1045"/>
    </row>
    <row r="169" spans="1:31" x14ac:dyDescent="0.25">
      <c r="A169" s="96"/>
      <c r="B169" s="166" t="s">
        <v>694</v>
      </c>
      <c r="C169" s="940" t="s">
        <v>673</v>
      </c>
      <c r="H169" s="221">
        <f t="shared" si="9"/>
        <v>0</v>
      </c>
      <c r="T169" s="981"/>
      <c r="U169" s="981"/>
      <c r="V169" s="1047"/>
      <c r="W169" s="1045"/>
    </row>
    <row r="170" spans="1:31" x14ac:dyDescent="0.25">
      <c r="A170" s="96" t="s">
        <v>800</v>
      </c>
      <c r="B170" s="188" t="s">
        <v>697</v>
      </c>
      <c r="C170" s="917" t="s">
        <v>674</v>
      </c>
      <c r="H170" s="221">
        <f t="shared" si="9"/>
        <v>1</v>
      </c>
      <c r="T170" s="981"/>
      <c r="U170" s="981"/>
      <c r="V170" s="1047"/>
      <c r="W170" s="1045"/>
    </row>
    <row r="171" spans="1:31" x14ac:dyDescent="0.25">
      <c r="A171" s="96" t="s">
        <v>801</v>
      </c>
      <c r="B171" s="188" t="s">
        <v>698</v>
      </c>
      <c r="C171" s="917" t="s">
        <v>675</v>
      </c>
      <c r="H171" s="221">
        <f t="shared" si="9"/>
        <v>1</v>
      </c>
      <c r="T171" s="981"/>
      <c r="U171" s="981"/>
      <c r="V171" s="1047"/>
      <c r="W171" s="1045"/>
    </row>
    <row r="172" spans="1:31" x14ac:dyDescent="0.25">
      <c r="A172" s="137" t="s">
        <v>481</v>
      </c>
      <c r="B172" s="946" t="s">
        <v>481</v>
      </c>
      <c r="C172" s="832" t="s">
        <v>471</v>
      </c>
      <c r="H172" s="963">
        <f t="shared" si="9"/>
        <v>0</v>
      </c>
      <c r="T172" s="981"/>
      <c r="U172" s="981"/>
      <c r="V172" s="1047"/>
      <c r="W172" s="1045"/>
    </row>
    <row r="173" spans="1:31" x14ac:dyDescent="0.25">
      <c r="A173" s="96"/>
      <c r="B173" s="188" t="s">
        <v>694</v>
      </c>
      <c r="C173" s="940" t="s">
        <v>676</v>
      </c>
      <c r="H173" s="221">
        <f t="shared" si="9"/>
        <v>0</v>
      </c>
      <c r="T173" s="981"/>
      <c r="U173" s="981"/>
      <c r="V173" s="1047"/>
      <c r="W173" s="1045"/>
    </row>
    <row r="174" spans="1:31" x14ac:dyDescent="0.25">
      <c r="A174" s="96" t="s">
        <v>803</v>
      </c>
      <c r="B174" s="188" t="s">
        <v>697</v>
      </c>
      <c r="C174" s="917" t="s">
        <v>677</v>
      </c>
      <c r="H174" s="221">
        <f t="shared" si="9"/>
        <v>0</v>
      </c>
      <c r="T174" s="981"/>
      <c r="U174" s="981"/>
      <c r="V174" s="981"/>
      <c r="W174" s="1045"/>
    </row>
    <row r="175" spans="1:31" x14ac:dyDescent="0.25">
      <c r="A175" s="96" t="s">
        <v>804</v>
      </c>
      <c r="B175" s="188" t="s">
        <v>698</v>
      </c>
      <c r="C175" s="917" t="s">
        <v>678</v>
      </c>
      <c r="H175" s="221">
        <f t="shared" si="9"/>
        <v>0</v>
      </c>
      <c r="T175" s="981"/>
      <c r="U175" s="981"/>
      <c r="V175" s="981"/>
      <c r="W175" s="1045"/>
    </row>
    <row r="176" spans="1:31" x14ac:dyDescent="0.25">
      <c r="A176" s="137" t="s">
        <v>183</v>
      </c>
      <c r="B176" s="946" t="s">
        <v>183</v>
      </c>
      <c r="C176" s="832" t="s">
        <v>472</v>
      </c>
      <c r="H176" s="963">
        <f t="shared" si="9"/>
        <v>0</v>
      </c>
      <c r="T176" s="981"/>
      <c r="U176" s="981"/>
      <c r="V176" s="981"/>
      <c r="W176" s="1045"/>
    </row>
    <row r="177" spans="1:23" x14ac:dyDescent="0.25">
      <c r="A177" s="96"/>
      <c r="B177" s="188" t="s">
        <v>694</v>
      </c>
      <c r="C177" s="940" t="s">
        <v>679</v>
      </c>
      <c r="H177" s="221">
        <f t="shared" si="9"/>
        <v>0</v>
      </c>
      <c r="T177" s="981"/>
      <c r="U177" s="981"/>
      <c r="V177" s="981"/>
      <c r="W177" s="1045"/>
    </row>
    <row r="178" spans="1:23" x14ac:dyDescent="0.25">
      <c r="A178" s="96" t="s">
        <v>806</v>
      </c>
      <c r="B178" s="188" t="s">
        <v>697</v>
      </c>
      <c r="C178" s="917" t="s">
        <v>680</v>
      </c>
      <c r="H178" s="221">
        <f t="shared" si="9"/>
        <v>1</v>
      </c>
      <c r="T178" s="981"/>
      <c r="U178" s="981"/>
      <c r="V178" s="981"/>
      <c r="W178" s="1045"/>
    </row>
    <row r="179" spans="1:23" x14ac:dyDescent="0.25">
      <c r="A179" s="96" t="s">
        <v>807</v>
      </c>
      <c r="B179" s="188" t="s">
        <v>698</v>
      </c>
      <c r="C179" s="917" t="s">
        <v>681</v>
      </c>
      <c r="H179" s="221">
        <f t="shared" si="9"/>
        <v>3</v>
      </c>
      <c r="T179" s="981"/>
      <c r="U179" s="981"/>
      <c r="V179" s="981"/>
      <c r="W179" s="1045"/>
    </row>
    <row r="180" spans="1:23" x14ac:dyDescent="0.25">
      <c r="A180" s="137" t="s">
        <v>184</v>
      </c>
      <c r="B180" s="946" t="s">
        <v>184</v>
      </c>
      <c r="C180" s="832" t="s">
        <v>473</v>
      </c>
      <c r="H180" s="963">
        <f t="shared" si="9"/>
        <v>0</v>
      </c>
      <c r="T180" s="981"/>
      <c r="U180" s="981"/>
      <c r="V180" s="981"/>
      <c r="W180" s="1045"/>
    </row>
    <row r="181" spans="1:23" x14ac:dyDescent="0.25">
      <c r="A181" s="96"/>
      <c r="B181" s="188" t="s">
        <v>694</v>
      </c>
      <c r="C181" s="940" t="s">
        <v>682</v>
      </c>
      <c r="H181" s="221">
        <f t="shared" si="9"/>
        <v>0</v>
      </c>
      <c r="T181" s="981"/>
      <c r="U181" s="981"/>
      <c r="V181" s="981"/>
      <c r="W181" s="1045"/>
    </row>
    <row r="182" spans="1:23" x14ac:dyDescent="0.25">
      <c r="A182" s="96" t="s">
        <v>809</v>
      </c>
      <c r="B182" s="188" t="s">
        <v>697</v>
      </c>
      <c r="C182" s="917" t="s">
        <v>683</v>
      </c>
      <c r="H182" s="221">
        <f t="shared" si="9"/>
        <v>1</v>
      </c>
      <c r="T182" s="981"/>
      <c r="U182" s="981"/>
      <c r="V182" s="981"/>
      <c r="W182" s="1045"/>
    </row>
    <row r="183" spans="1:23" x14ac:dyDescent="0.25">
      <c r="A183" s="96" t="s">
        <v>810</v>
      </c>
      <c r="B183" s="188" t="s">
        <v>698</v>
      </c>
      <c r="C183" s="917" t="s">
        <v>684</v>
      </c>
      <c r="H183" s="221">
        <f t="shared" si="9"/>
        <v>1</v>
      </c>
      <c r="T183" s="981"/>
      <c r="U183" s="981"/>
      <c r="V183" s="981"/>
      <c r="W183" s="1045"/>
    </row>
    <row r="184" spans="1:23" x14ac:dyDescent="0.25">
      <c r="A184" s="137" t="s">
        <v>185</v>
      </c>
      <c r="B184" s="946" t="s">
        <v>185</v>
      </c>
      <c r="C184" s="832" t="s">
        <v>691</v>
      </c>
      <c r="H184" s="963">
        <f t="shared" si="9"/>
        <v>0</v>
      </c>
      <c r="T184" s="981"/>
      <c r="U184" s="981"/>
      <c r="V184" s="981"/>
      <c r="W184" s="1045"/>
    </row>
    <row r="185" spans="1:23" x14ac:dyDescent="0.25">
      <c r="A185" s="96" t="s">
        <v>811</v>
      </c>
      <c r="B185" s="188" t="s">
        <v>694</v>
      </c>
      <c r="C185" s="917" t="s">
        <v>685</v>
      </c>
      <c r="H185" s="221">
        <f t="shared" si="9"/>
        <v>1</v>
      </c>
      <c r="T185" s="981"/>
      <c r="U185" s="981"/>
      <c r="V185" s="981"/>
      <c r="W185" s="1045"/>
    </row>
    <row r="186" spans="1:23" x14ac:dyDescent="0.25">
      <c r="A186" s="137" t="s">
        <v>482</v>
      </c>
      <c r="B186" s="946" t="s">
        <v>482</v>
      </c>
      <c r="C186" s="832" t="s">
        <v>692</v>
      </c>
      <c r="H186" s="963">
        <f t="shared" si="9"/>
        <v>0</v>
      </c>
      <c r="T186" s="981"/>
      <c r="U186" s="981"/>
      <c r="V186" s="981"/>
      <c r="W186" s="1045"/>
    </row>
    <row r="187" spans="1:23" x14ac:dyDescent="0.25">
      <c r="A187" s="96"/>
      <c r="B187" s="188" t="s">
        <v>694</v>
      </c>
      <c r="C187" s="940" t="s">
        <v>686</v>
      </c>
      <c r="H187" s="221">
        <f t="shared" si="9"/>
        <v>0</v>
      </c>
      <c r="T187" s="981"/>
      <c r="U187" s="981"/>
      <c r="V187" s="981"/>
      <c r="W187" s="1045"/>
    </row>
    <row r="188" spans="1:23" x14ac:dyDescent="0.25">
      <c r="A188" s="96" t="s">
        <v>813</v>
      </c>
      <c r="B188" s="188" t="s">
        <v>697</v>
      </c>
      <c r="C188" s="917" t="s">
        <v>687</v>
      </c>
      <c r="H188" s="221">
        <f t="shared" si="9"/>
        <v>2</v>
      </c>
      <c r="T188" s="981"/>
      <c r="U188" s="981"/>
      <c r="V188" s="981"/>
      <c r="W188" s="1045"/>
    </row>
    <row r="189" spans="1:23" x14ac:dyDescent="0.25">
      <c r="A189" s="137" t="s">
        <v>483</v>
      </c>
      <c r="B189" s="946" t="s">
        <v>483</v>
      </c>
      <c r="C189" s="832" t="s">
        <v>693</v>
      </c>
      <c r="H189" s="963">
        <f t="shared" si="9"/>
        <v>0</v>
      </c>
      <c r="T189" s="981"/>
      <c r="U189" s="981"/>
      <c r="V189" s="981"/>
      <c r="W189" s="1045"/>
    </row>
    <row r="190" spans="1:23" x14ac:dyDescent="0.25">
      <c r="A190" s="96"/>
      <c r="B190" s="188" t="s">
        <v>694</v>
      </c>
      <c r="C190" s="940" t="s">
        <v>688</v>
      </c>
      <c r="H190" s="221">
        <f t="shared" si="9"/>
        <v>0</v>
      </c>
      <c r="T190" s="981"/>
      <c r="U190" s="981"/>
      <c r="V190" s="981"/>
      <c r="W190" s="1045"/>
    </row>
    <row r="191" spans="1:23" x14ac:dyDescent="0.25">
      <c r="A191" s="96" t="s">
        <v>815</v>
      </c>
      <c r="B191" s="188" t="s">
        <v>697</v>
      </c>
      <c r="C191" s="917" t="s">
        <v>961</v>
      </c>
      <c r="H191" s="221">
        <f t="shared" si="9"/>
        <v>1</v>
      </c>
      <c r="T191" s="981"/>
      <c r="U191" s="981"/>
      <c r="V191" s="981"/>
      <c r="W191" s="1045"/>
    </row>
    <row r="192" spans="1:23" s="1044" customFormat="1" x14ac:dyDescent="0.25">
      <c r="A192" s="96" t="s">
        <v>816</v>
      </c>
      <c r="B192" s="731" t="s">
        <v>698</v>
      </c>
      <c r="C192" s="917" t="s">
        <v>689</v>
      </c>
      <c r="H192" s="221">
        <f t="shared" si="9"/>
        <v>1</v>
      </c>
      <c r="W192" s="1045"/>
    </row>
    <row r="193" spans="1:23" ht="15.75" thickBot="1" x14ac:dyDescent="0.3">
      <c r="A193" s="96" t="s">
        <v>962</v>
      </c>
      <c r="B193" s="194" t="s">
        <v>696</v>
      </c>
      <c r="C193" s="917" t="s">
        <v>690</v>
      </c>
      <c r="H193" s="221">
        <f t="shared" si="9"/>
        <v>0</v>
      </c>
      <c r="T193" s="981"/>
      <c r="U193" s="981"/>
      <c r="V193" s="981"/>
      <c r="W193" s="1045"/>
    </row>
    <row r="194" spans="1:23" ht="15.75" thickBot="1" x14ac:dyDescent="0.3">
      <c r="A194" s="96" t="s">
        <v>890</v>
      </c>
      <c r="B194" s="711"/>
      <c r="C194" s="710" t="s">
        <v>215</v>
      </c>
      <c r="H194" s="226">
        <f t="shared" si="9"/>
        <v>0</v>
      </c>
      <c r="T194" s="981"/>
      <c r="U194" s="981"/>
      <c r="V194" s="981"/>
      <c r="W194" s="1045"/>
    </row>
    <row r="195" spans="1:23" ht="15.75" thickBot="1" x14ac:dyDescent="0.3">
      <c r="A195" s="96"/>
      <c r="B195" s="96"/>
      <c r="C195" s="96"/>
      <c r="H195" s="96">
        <f t="shared" si="9"/>
        <v>0</v>
      </c>
      <c r="T195" s="981"/>
      <c r="U195" s="981"/>
      <c r="V195" s="981"/>
      <c r="W195" s="1045"/>
    </row>
    <row r="196" spans="1:23" ht="15.75" thickBot="1" x14ac:dyDescent="0.3">
      <c r="A196" s="96"/>
      <c r="B196" s="151"/>
      <c r="C196" s="152" t="s">
        <v>72</v>
      </c>
      <c r="H196" s="138">
        <f t="shared" si="9"/>
        <v>0</v>
      </c>
      <c r="T196" s="981"/>
      <c r="U196" s="981"/>
      <c r="V196" s="981"/>
      <c r="W196" s="1045"/>
    </row>
    <row r="197" spans="1:23" x14ac:dyDescent="0.25">
      <c r="A197" s="137" t="s">
        <v>186</v>
      </c>
      <c r="B197" s="858" t="s">
        <v>186</v>
      </c>
      <c r="C197" s="859" t="s">
        <v>165</v>
      </c>
      <c r="H197" s="961">
        <f t="shared" si="9"/>
        <v>0</v>
      </c>
      <c r="T197" s="981"/>
      <c r="U197" s="981"/>
      <c r="V197" s="981"/>
      <c r="W197" s="1045"/>
    </row>
    <row r="198" spans="1:23" x14ac:dyDescent="0.25">
      <c r="A198" s="96" t="s">
        <v>817</v>
      </c>
      <c r="B198" s="166" t="s">
        <v>694</v>
      </c>
      <c r="C198" s="917" t="s">
        <v>900</v>
      </c>
      <c r="H198" s="1039">
        <f t="shared" si="9"/>
        <v>3</v>
      </c>
      <c r="I198" t="s">
        <v>947</v>
      </c>
      <c r="T198" s="981"/>
      <c r="U198" s="981"/>
      <c r="V198" s="981"/>
      <c r="W198" s="1045"/>
    </row>
    <row r="199" spans="1:23" x14ac:dyDescent="0.25">
      <c r="A199" s="96" t="s">
        <v>819</v>
      </c>
      <c r="B199" s="166" t="s">
        <v>698</v>
      </c>
      <c r="C199" s="917" t="s">
        <v>383</v>
      </c>
      <c r="H199" s="1039">
        <f>IF(H198=3,2,0)</f>
        <v>2</v>
      </c>
      <c r="I199" s="1044" t="s">
        <v>947</v>
      </c>
      <c r="T199" s="981"/>
      <c r="U199" s="981"/>
      <c r="V199" s="981"/>
      <c r="W199" s="1045"/>
    </row>
    <row r="200" spans="1:23" x14ac:dyDescent="0.25">
      <c r="A200" s="96" t="s">
        <v>898</v>
      </c>
      <c r="B200" s="166" t="s">
        <v>696</v>
      </c>
      <c r="C200" s="917" t="s">
        <v>901</v>
      </c>
      <c r="H200" s="1039">
        <f>IF(H198=3,1,0)</f>
        <v>1</v>
      </c>
      <c r="I200" s="1044" t="s">
        <v>947</v>
      </c>
      <c r="T200" s="981"/>
      <c r="U200" s="981"/>
      <c r="V200" s="981"/>
      <c r="W200" s="1045"/>
    </row>
    <row r="201" spans="1:23" x14ac:dyDescent="0.25">
      <c r="A201" s="137" t="s">
        <v>187</v>
      </c>
      <c r="B201" s="834" t="s">
        <v>187</v>
      </c>
      <c r="C201" s="832" t="s">
        <v>474</v>
      </c>
      <c r="H201" s="1041">
        <f t="shared" ref="H201:H241" si="10">SUMIF($R$7:$R$182,A201,$U$7:$U$182)</f>
        <v>0</v>
      </c>
      <c r="I201" s="1044" t="s">
        <v>947</v>
      </c>
      <c r="T201" s="981"/>
      <c r="U201" s="981"/>
      <c r="V201" s="981"/>
      <c r="W201" s="1045"/>
    </row>
    <row r="202" spans="1:23" x14ac:dyDescent="0.25">
      <c r="A202" s="96" t="s">
        <v>820</v>
      </c>
      <c r="B202" s="166" t="s">
        <v>694</v>
      </c>
      <c r="C202" s="917" t="s">
        <v>902</v>
      </c>
      <c r="H202" s="1039">
        <f t="shared" si="10"/>
        <v>2</v>
      </c>
      <c r="I202" s="1044" t="s">
        <v>947</v>
      </c>
      <c r="T202" s="981"/>
      <c r="U202" s="981"/>
      <c r="V202" s="981"/>
      <c r="W202" s="1045"/>
    </row>
    <row r="203" spans="1:23" x14ac:dyDescent="0.25">
      <c r="A203" s="96" t="s">
        <v>821</v>
      </c>
      <c r="B203" s="166" t="s">
        <v>697</v>
      </c>
      <c r="C203" s="917" t="s">
        <v>903</v>
      </c>
      <c r="H203" s="1039">
        <f>H202</f>
        <v>2</v>
      </c>
      <c r="I203" s="1044" t="s">
        <v>947</v>
      </c>
      <c r="T203" s="981"/>
      <c r="U203" s="981"/>
      <c r="V203" s="981"/>
      <c r="W203" s="1045"/>
    </row>
    <row r="204" spans="1:23" x14ac:dyDescent="0.25">
      <c r="A204" s="96"/>
      <c r="B204" s="701" t="s">
        <v>188</v>
      </c>
      <c r="C204" s="700"/>
      <c r="H204" s="1042">
        <f t="shared" si="10"/>
        <v>0</v>
      </c>
      <c r="I204" s="1044" t="s">
        <v>947</v>
      </c>
      <c r="T204" s="981"/>
      <c r="U204" s="981"/>
      <c r="V204" s="981"/>
      <c r="W204" s="1045"/>
    </row>
    <row r="205" spans="1:23" x14ac:dyDescent="0.25">
      <c r="A205" s="137" t="s">
        <v>189</v>
      </c>
      <c r="B205" s="834" t="s">
        <v>189</v>
      </c>
      <c r="C205" s="832" t="s">
        <v>166</v>
      </c>
      <c r="H205" s="1041">
        <f t="shared" si="10"/>
        <v>0</v>
      </c>
      <c r="I205" s="1044" t="s">
        <v>947</v>
      </c>
      <c r="T205" s="981"/>
      <c r="U205" s="981"/>
      <c r="V205" s="981"/>
      <c r="W205" s="1045"/>
    </row>
    <row r="206" spans="1:23" x14ac:dyDescent="0.25">
      <c r="A206" s="96" t="s">
        <v>822</v>
      </c>
      <c r="B206" s="166" t="s">
        <v>694</v>
      </c>
      <c r="C206" s="917" t="s">
        <v>905</v>
      </c>
      <c r="H206" s="1039">
        <f t="shared" si="10"/>
        <v>1</v>
      </c>
      <c r="I206" s="1044" t="s">
        <v>947</v>
      </c>
      <c r="T206" s="981"/>
      <c r="U206" s="981"/>
      <c r="V206" s="981"/>
      <c r="W206" s="1045"/>
    </row>
    <row r="207" spans="1:23" x14ac:dyDescent="0.25">
      <c r="A207" s="96" t="s">
        <v>823</v>
      </c>
      <c r="B207" s="166" t="s">
        <v>697</v>
      </c>
      <c r="C207" s="917" t="s">
        <v>906</v>
      </c>
      <c r="H207" s="1039">
        <f>H206</f>
        <v>1</v>
      </c>
      <c r="I207" s="1044" t="s">
        <v>947</v>
      </c>
      <c r="T207" s="981"/>
      <c r="U207" s="981"/>
      <c r="V207" s="981"/>
      <c r="W207" s="1045"/>
    </row>
    <row r="208" spans="1:23" x14ac:dyDescent="0.25">
      <c r="A208" s="137" t="s">
        <v>190</v>
      </c>
      <c r="B208" s="834" t="s">
        <v>190</v>
      </c>
      <c r="C208" s="832" t="s">
        <v>909</v>
      </c>
      <c r="H208" s="1041">
        <f t="shared" si="10"/>
        <v>0</v>
      </c>
      <c r="I208" s="1044" t="s">
        <v>947</v>
      </c>
      <c r="T208" s="981"/>
      <c r="U208" s="981"/>
      <c r="V208" s="981"/>
      <c r="W208" s="1045"/>
    </row>
    <row r="209" spans="1:23" x14ac:dyDescent="0.25">
      <c r="A209" s="96" t="s">
        <v>824</v>
      </c>
      <c r="B209" s="166" t="s">
        <v>694</v>
      </c>
      <c r="C209" s="917" t="s">
        <v>907</v>
      </c>
      <c r="H209" s="1039">
        <f t="shared" si="10"/>
        <v>1</v>
      </c>
      <c r="I209" s="1044" t="s">
        <v>947</v>
      </c>
      <c r="T209" s="981"/>
      <c r="U209" s="981"/>
      <c r="V209" s="981"/>
      <c r="W209" s="1045"/>
    </row>
    <row r="210" spans="1:23" ht="15.75" thickBot="1" x14ac:dyDescent="0.3">
      <c r="A210" s="96" t="s">
        <v>825</v>
      </c>
      <c r="B210" s="229" t="s">
        <v>697</v>
      </c>
      <c r="C210" s="917" t="s">
        <v>908</v>
      </c>
      <c r="H210" s="1039">
        <f>H209</f>
        <v>1</v>
      </c>
      <c r="I210" s="1044" t="s">
        <v>947</v>
      </c>
      <c r="T210" s="981"/>
      <c r="U210" s="981"/>
      <c r="V210" s="981"/>
      <c r="W210" s="1045"/>
    </row>
    <row r="211" spans="1:23" ht="15.75" thickBot="1" x14ac:dyDescent="0.3">
      <c r="A211" s="96" t="s">
        <v>891</v>
      </c>
      <c r="B211" s="711"/>
      <c r="C211" s="710" t="s">
        <v>215</v>
      </c>
      <c r="H211" s="226">
        <f t="shared" si="10"/>
        <v>0</v>
      </c>
      <c r="T211" s="981"/>
      <c r="U211" s="981"/>
      <c r="V211" s="981"/>
      <c r="W211" s="1045"/>
    </row>
    <row r="212" spans="1:23" ht="15.75" thickBot="1" x14ac:dyDescent="0.3">
      <c r="A212" s="96"/>
      <c r="B212" s="96"/>
      <c r="C212" s="96"/>
      <c r="H212" s="96">
        <f t="shared" si="10"/>
        <v>0</v>
      </c>
      <c r="T212" s="981"/>
      <c r="U212" s="981"/>
      <c r="V212" s="981"/>
      <c r="W212" s="1045"/>
    </row>
    <row r="213" spans="1:23" ht="15.75" thickBot="1" x14ac:dyDescent="0.3">
      <c r="A213" s="96"/>
      <c r="B213" s="151"/>
      <c r="C213" s="152" t="s">
        <v>227</v>
      </c>
      <c r="H213" s="138">
        <f t="shared" si="10"/>
        <v>0</v>
      </c>
      <c r="T213" s="981"/>
      <c r="U213" s="981"/>
      <c r="V213" s="981"/>
      <c r="W213" s="1045"/>
    </row>
    <row r="214" spans="1:23" x14ac:dyDescent="0.25">
      <c r="A214" s="130" t="s">
        <v>191</v>
      </c>
      <c r="B214" s="313" t="s">
        <v>191</v>
      </c>
      <c r="C214" s="177" t="s">
        <v>927</v>
      </c>
      <c r="H214" s="212">
        <f t="shared" si="10"/>
        <v>1</v>
      </c>
      <c r="T214" s="981"/>
      <c r="U214" s="981"/>
      <c r="V214" s="981"/>
      <c r="W214" s="1045"/>
    </row>
    <row r="215" spans="1:23" x14ac:dyDescent="0.25">
      <c r="A215" s="130" t="s">
        <v>192</v>
      </c>
      <c r="B215" s="166" t="s">
        <v>192</v>
      </c>
      <c r="C215" s="167" t="s">
        <v>928</v>
      </c>
      <c r="H215" s="221">
        <f t="shared" si="10"/>
        <v>0</v>
      </c>
      <c r="T215" s="981"/>
      <c r="U215" s="981"/>
      <c r="V215" s="981"/>
      <c r="W215" s="1045"/>
    </row>
    <row r="216" spans="1:23" x14ac:dyDescent="0.25">
      <c r="A216" s="130" t="s">
        <v>193</v>
      </c>
      <c r="B216" s="166" t="s">
        <v>193</v>
      </c>
      <c r="C216" s="167" t="s">
        <v>929</v>
      </c>
      <c r="H216" s="221">
        <f t="shared" si="10"/>
        <v>1</v>
      </c>
      <c r="T216" s="981"/>
      <c r="U216" s="981"/>
      <c r="V216" s="981"/>
      <c r="W216" s="1045"/>
    </row>
    <row r="217" spans="1:23" x14ac:dyDescent="0.25">
      <c r="A217" s="130" t="s">
        <v>194</v>
      </c>
      <c r="B217" s="166" t="s">
        <v>194</v>
      </c>
      <c r="C217" s="167" t="s">
        <v>930</v>
      </c>
      <c r="H217" s="221">
        <f t="shared" si="10"/>
        <v>1</v>
      </c>
      <c r="T217" s="981"/>
      <c r="U217" s="981"/>
      <c r="V217" s="981"/>
      <c r="W217" s="1045"/>
    </row>
    <row r="218" spans="1:23" x14ac:dyDescent="0.25">
      <c r="A218" s="130" t="s">
        <v>195</v>
      </c>
      <c r="B218" s="166" t="s">
        <v>195</v>
      </c>
      <c r="C218" s="167" t="s">
        <v>931</v>
      </c>
      <c r="H218" s="221">
        <f t="shared" si="10"/>
        <v>4</v>
      </c>
      <c r="T218" s="981"/>
      <c r="U218" s="981"/>
      <c r="V218" s="981"/>
      <c r="W218" s="1045"/>
    </row>
    <row r="219" spans="1:23" x14ac:dyDescent="0.25">
      <c r="A219" s="130" t="s">
        <v>196</v>
      </c>
      <c r="B219" s="166" t="s">
        <v>196</v>
      </c>
      <c r="C219" s="167" t="s">
        <v>932</v>
      </c>
      <c r="H219" s="221">
        <f t="shared" si="10"/>
        <v>1</v>
      </c>
      <c r="T219" s="981"/>
      <c r="U219" s="981"/>
      <c r="V219" s="981"/>
      <c r="W219" s="981"/>
    </row>
    <row r="220" spans="1:23" x14ac:dyDescent="0.25">
      <c r="A220" s="130" t="s">
        <v>197</v>
      </c>
      <c r="B220" s="166" t="s">
        <v>197</v>
      </c>
      <c r="C220" s="167" t="s">
        <v>933</v>
      </c>
      <c r="H220" s="221">
        <f t="shared" si="10"/>
        <v>1</v>
      </c>
      <c r="T220" s="981"/>
      <c r="U220" s="981"/>
      <c r="V220" s="981"/>
      <c r="W220" s="981"/>
    </row>
    <row r="221" spans="1:23" x14ac:dyDescent="0.25">
      <c r="A221" s="130" t="s">
        <v>225</v>
      </c>
      <c r="B221" s="166" t="s">
        <v>225</v>
      </c>
      <c r="C221" s="167" t="s">
        <v>934</v>
      </c>
      <c r="H221" s="221">
        <f t="shared" si="10"/>
        <v>1</v>
      </c>
      <c r="T221" s="981"/>
      <c r="U221" s="981"/>
      <c r="V221" s="981"/>
      <c r="W221" s="981"/>
    </row>
    <row r="222" spans="1:23" x14ac:dyDescent="0.25">
      <c r="A222" s="130" t="s">
        <v>255</v>
      </c>
      <c r="B222" s="166" t="s">
        <v>255</v>
      </c>
      <c r="C222" s="167" t="s">
        <v>935</v>
      </c>
      <c r="H222" s="221">
        <f t="shared" si="10"/>
        <v>1</v>
      </c>
      <c r="T222" s="981"/>
      <c r="U222" s="981"/>
      <c r="V222" s="981"/>
      <c r="W222" s="981"/>
    </row>
    <row r="223" spans="1:23" x14ac:dyDescent="0.25">
      <c r="A223" s="130" t="s">
        <v>475</v>
      </c>
      <c r="B223" s="222" t="s">
        <v>475</v>
      </c>
      <c r="C223" s="189" t="s">
        <v>936</v>
      </c>
      <c r="H223" s="221">
        <f t="shared" si="10"/>
        <v>1</v>
      </c>
      <c r="T223" s="981"/>
      <c r="U223" s="981"/>
      <c r="V223" s="981"/>
      <c r="W223" s="981"/>
    </row>
    <row r="224" spans="1:23" x14ac:dyDescent="0.25">
      <c r="A224" s="130" t="s">
        <v>476</v>
      </c>
      <c r="B224" s="222" t="s">
        <v>476</v>
      </c>
      <c r="C224" s="189" t="s">
        <v>937</v>
      </c>
      <c r="H224" s="221">
        <f t="shared" si="10"/>
        <v>1</v>
      </c>
      <c r="T224" s="981"/>
      <c r="U224" s="981"/>
      <c r="V224" s="981"/>
      <c r="W224" s="981"/>
    </row>
    <row r="225" spans="1:23" x14ac:dyDescent="0.25">
      <c r="A225" s="130" t="s">
        <v>477</v>
      </c>
      <c r="B225" s="222" t="s">
        <v>477</v>
      </c>
      <c r="C225" s="189" t="s">
        <v>938</v>
      </c>
      <c r="H225" s="221">
        <f t="shared" si="10"/>
        <v>1</v>
      </c>
      <c r="T225" s="981"/>
      <c r="U225" s="981"/>
      <c r="V225" s="981"/>
      <c r="W225" s="981"/>
    </row>
    <row r="226" spans="1:23" x14ac:dyDescent="0.25">
      <c r="A226" s="130" t="s">
        <v>478</v>
      </c>
      <c r="B226" s="222" t="s">
        <v>478</v>
      </c>
      <c r="C226" s="189" t="s">
        <v>939</v>
      </c>
      <c r="H226" s="221">
        <f t="shared" si="10"/>
        <v>1</v>
      </c>
      <c r="T226" s="981"/>
      <c r="U226" s="981"/>
      <c r="V226" s="981"/>
      <c r="W226" s="981"/>
    </row>
    <row r="227" spans="1:23" ht="15.75" thickBot="1" x14ac:dyDescent="0.3">
      <c r="A227" s="130" t="s">
        <v>699</v>
      </c>
      <c r="B227" s="719" t="s">
        <v>699</v>
      </c>
      <c r="C227" s="196" t="s">
        <v>940</v>
      </c>
      <c r="H227" s="854">
        <f t="shared" si="10"/>
        <v>1</v>
      </c>
      <c r="T227" s="981"/>
      <c r="U227" s="981"/>
      <c r="V227" s="981"/>
      <c r="W227" s="981"/>
    </row>
    <row r="228" spans="1:23" ht="15.75" thickBot="1" x14ac:dyDescent="0.3">
      <c r="A228" s="130" t="s">
        <v>892</v>
      </c>
      <c r="B228" s="711" t="s">
        <v>215</v>
      </c>
      <c r="C228" s="710"/>
      <c r="H228" s="226">
        <f t="shared" si="10"/>
        <v>0</v>
      </c>
      <c r="T228" s="981"/>
      <c r="U228" s="981"/>
      <c r="V228" s="981"/>
      <c r="W228" s="981"/>
    </row>
    <row r="229" spans="1:23" ht="15.75" thickBot="1" x14ac:dyDescent="0.3">
      <c r="A229" s="96"/>
      <c r="B229" s="96"/>
      <c r="C229" s="96"/>
      <c r="H229" s="96">
        <f t="shared" si="10"/>
        <v>0</v>
      </c>
      <c r="T229" s="981"/>
      <c r="U229" s="981"/>
      <c r="V229" s="981"/>
      <c r="W229" s="981"/>
    </row>
    <row r="230" spans="1:23" ht="15.75" thickBot="1" x14ac:dyDescent="0.3">
      <c r="A230" s="96"/>
      <c r="B230" s="151"/>
      <c r="C230" s="152" t="s">
        <v>234</v>
      </c>
      <c r="H230" s="138">
        <f t="shared" si="10"/>
        <v>0</v>
      </c>
      <c r="T230" s="981"/>
      <c r="U230" s="981"/>
      <c r="V230" s="981"/>
      <c r="W230" s="981"/>
    </row>
    <row r="231" spans="1:23" x14ac:dyDescent="0.25">
      <c r="A231" s="96" t="s">
        <v>734</v>
      </c>
      <c r="B231" s="732" t="s">
        <v>734</v>
      </c>
      <c r="C231" s="973" t="s">
        <v>609</v>
      </c>
      <c r="H231" s="212">
        <f t="shared" si="10"/>
        <v>0</v>
      </c>
      <c r="T231" s="981"/>
      <c r="U231" s="981"/>
      <c r="V231" s="981"/>
      <c r="W231" s="981"/>
    </row>
    <row r="232" spans="1:23" x14ac:dyDescent="0.25">
      <c r="A232" s="96" t="s">
        <v>741</v>
      </c>
      <c r="B232" s="222" t="s">
        <v>741</v>
      </c>
      <c r="C232" s="977" t="s">
        <v>616</v>
      </c>
      <c r="H232" s="221">
        <f t="shared" si="10"/>
        <v>0</v>
      </c>
      <c r="T232" s="981"/>
      <c r="U232" s="981"/>
      <c r="V232" s="981"/>
      <c r="W232" s="981"/>
    </row>
    <row r="233" spans="1:23" x14ac:dyDescent="0.25">
      <c r="A233" s="96" t="s">
        <v>771</v>
      </c>
      <c r="B233" s="728" t="s">
        <v>771</v>
      </c>
      <c r="C233" s="971" t="s">
        <v>647</v>
      </c>
      <c r="H233" s="221">
        <f t="shared" si="10"/>
        <v>0</v>
      </c>
      <c r="T233" s="981"/>
      <c r="U233" s="981"/>
      <c r="V233" s="981"/>
      <c r="W233" s="981"/>
    </row>
    <row r="234" spans="1:23" x14ac:dyDescent="0.25">
      <c r="A234" s="96" t="s">
        <v>774</v>
      </c>
      <c r="B234" s="728" t="s">
        <v>774</v>
      </c>
      <c r="C234" s="972" t="s">
        <v>650</v>
      </c>
      <c r="H234" s="221">
        <f t="shared" si="10"/>
        <v>0</v>
      </c>
      <c r="T234" s="981"/>
      <c r="U234" s="981"/>
      <c r="V234" s="981"/>
      <c r="W234" s="981"/>
    </row>
    <row r="235" spans="1:23" x14ac:dyDescent="0.25">
      <c r="A235" s="96" t="s">
        <v>777</v>
      </c>
      <c r="B235" s="728" t="s">
        <v>777</v>
      </c>
      <c r="C235" s="972" t="s">
        <v>653</v>
      </c>
      <c r="H235" s="221">
        <f t="shared" si="10"/>
        <v>0</v>
      </c>
      <c r="T235" s="981"/>
      <c r="U235" s="981"/>
      <c r="V235" s="981"/>
      <c r="W235" s="981"/>
    </row>
    <row r="236" spans="1:23" x14ac:dyDescent="0.25">
      <c r="A236" s="96" t="s">
        <v>780</v>
      </c>
      <c r="B236" s="728" t="s">
        <v>780</v>
      </c>
      <c r="C236" s="972" t="s">
        <v>656</v>
      </c>
      <c r="H236" s="221">
        <f t="shared" si="10"/>
        <v>0</v>
      </c>
      <c r="T236" s="981"/>
      <c r="U236" s="981"/>
      <c r="V236" s="981"/>
      <c r="W236" s="981"/>
    </row>
    <row r="237" spans="1:23" x14ac:dyDescent="0.25">
      <c r="A237" s="96" t="s">
        <v>799</v>
      </c>
      <c r="B237" s="728" t="s">
        <v>799</v>
      </c>
      <c r="C237" s="972" t="s">
        <v>673</v>
      </c>
      <c r="H237" s="221">
        <f t="shared" si="10"/>
        <v>0</v>
      </c>
      <c r="T237" s="981"/>
      <c r="U237" s="981"/>
      <c r="V237" s="981"/>
      <c r="W237" s="981"/>
    </row>
    <row r="238" spans="1:23" x14ac:dyDescent="0.25">
      <c r="A238" s="96" t="s">
        <v>802</v>
      </c>
      <c r="B238" s="728" t="s">
        <v>802</v>
      </c>
      <c r="C238" s="972" t="s">
        <v>676</v>
      </c>
      <c r="H238" s="221">
        <f t="shared" si="10"/>
        <v>0</v>
      </c>
      <c r="T238" s="981"/>
      <c r="U238" s="981"/>
      <c r="V238" s="981"/>
      <c r="W238" s="981"/>
    </row>
    <row r="239" spans="1:23" x14ac:dyDescent="0.25">
      <c r="A239" s="96" t="s">
        <v>805</v>
      </c>
      <c r="B239" s="728" t="s">
        <v>805</v>
      </c>
      <c r="C239" s="972" t="s">
        <v>679</v>
      </c>
      <c r="H239" s="221">
        <f t="shared" si="10"/>
        <v>0</v>
      </c>
      <c r="T239" s="981"/>
      <c r="U239" s="981"/>
      <c r="V239" s="981"/>
      <c r="W239" s="981"/>
    </row>
    <row r="240" spans="1:23" x14ac:dyDescent="0.25">
      <c r="A240" s="96" t="s">
        <v>808</v>
      </c>
      <c r="B240" s="728" t="s">
        <v>808</v>
      </c>
      <c r="C240" s="972" t="s">
        <v>682</v>
      </c>
      <c r="H240" s="221">
        <f t="shared" si="10"/>
        <v>0</v>
      </c>
      <c r="T240" s="981"/>
      <c r="U240" s="981"/>
      <c r="V240" s="981"/>
      <c r="W240" s="981"/>
    </row>
    <row r="241" spans="1:23" x14ac:dyDescent="0.25">
      <c r="A241" s="96" t="s">
        <v>763</v>
      </c>
      <c r="B241" s="728" t="s">
        <v>763</v>
      </c>
      <c r="C241" s="972" t="s">
        <v>640</v>
      </c>
      <c r="H241" s="221">
        <f t="shared" si="10"/>
        <v>0</v>
      </c>
      <c r="T241" s="981"/>
      <c r="U241" s="981"/>
      <c r="V241" s="981"/>
      <c r="W241" s="981"/>
    </row>
    <row r="242" spans="1:23" x14ac:dyDescent="0.25">
      <c r="A242" s="96" t="s">
        <v>812</v>
      </c>
      <c r="B242" s="731" t="s">
        <v>812</v>
      </c>
      <c r="C242" s="972" t="s">
        <v>686</v>
      </c>
      <c r="H242" s="221"/>
      <c r="T242" s="981"/>
      <c r="U242" s="981"/>
      <c r="V242" s="981"/>
      <c r="W242" s="981"/>
    </row>
    <row r="243" spans="1:23" x14ac:dyDescent="0.25">
      <c r="A243" s="96" t="s">
        <v>814</v>
      </c>
      <c r="B243" s="731" t="s">
        <v>814</v>
      </c>
      <c r="C243" s="972" t="s">
        <v>688</v>
      </c>
      <c r="H243" s="221"/>
      <c r="T243" s="981"/>
      <c r="U243" s="981"/>
      <c r="V243" s="981"/>
      <c r="W243" s="981"/>
    </row>
    <row r="244" spans="1:23" x14ac:dyDescent="0.25">
      <c r="A244" s="96" t="s">
        <v>897</v>
      </c>
      <c r="B244" s="731" t="s">
        <v>897</v>
      </c>
      <c r="C244" s="1014" t="s">
        <v>899</v>
      </c>
      <c r="H244" s="221"/>
      <c r="T244" s="981"/>
      <c r="U244" s="981"/>
      <c r="V244" s="981"/>
      <c r="W244" s="981"/>
    </row>
    <row r="245" spans="1:23" x14ac:dyDescent="0.25">
      <c r="A245" s="96"/>
      <c r="B245" s="731"/>
      <c r="C245" s="972"/>
      <c r="H245" s="221"/>
      <c r="T245" s="981"/>
      <c r="U245" s="981"/>
      <c r="V245" s="981"/>
      <c r="W245" s="981"/>
    </row>
    <row r="246" spans="1:23" ht="15.75" thickBot="1" x14ac:dyDescent="0.3">
      <c r="A246" s="96"/>
      <c r="B246" s="194"/>
      <c r="C246" s="196"/>
      <c r="H246" s="221"/>
      <c r="T246" s="981"/>
      <c r="U246" s="981"/>
      <c r="V246" s="981"/>
      <c r="W246" s="981"/>
    </row>
    <row r="247" spans="1:23" x14ac:dyDescent="0.25">
      <c r="A247" s="96"/>
      <c r="B247" s="96"/>
      <c r="C247" s="96"/>
      <c r="H247" s="96"/>
      <c r="T247" s="981"/>
      <c r="U247" s="981"/>
      <c r="V247" s="981"/>
      <c r="W247" s="981"/>
    </row>
    <row r="248" spans="1:23" x14ac:dyDescent="0.25">
      <c r="H248" s="96"/>
      <c r="T248" s="981"/>
      <c r="U248" s="981"/>
      <c r="V248" s="981"/>
      <c r="W248" s="981"/>
    </row>
    <row r="249" spans="1:23" x14ac:dyDescent="0.25">
      <c r="H249" s="96"/>
      <c r="T249" s="981"/>
      <c r="U249" s="981"/>
      <c r="V249" s="981"/>
      <c r="W249" s="981"/>
    </row>
    <row r="250" spans="1:23" x14ac:dyDescent="0.25">
      <c r="H250" s="96"/>
      <c r="T250" s="981"/>
      <c r="U250" s="981"/>
      <c r="V250" s="981"/>
      <c r="W250" s="981"/>
    </row>
    <row r="251" spans="1:23" x14ac:dyDescent="0.25">
      <c r="H251" s="96"/>
      <c r="T251" s="981"/>
      <c r="U251" s="981"/>
      <c r="V251" s="981"/>
      <c r="W251" s="981"/>
    </row>
    <row r="252" spans="1:23" x14ac:dyDescent="0.25">
      <c r="H252" s="96"/>
      <c r="T252" s="981"/>
      <c r="U252" s="981"/>
      <c r="V252" s="981"/>
      <c r="W252" s="981"/>
    </row>
    <row r="253" spans="1:23" x14ac:dyDescent="0.25">
      <c r="H253" s="96"/>
      <c r="T253" s="981"/>
      <c r="U253" s="981"/>
      <c r="V253" s="981"/>
      <c r="W253" s="981"/>
    </row>
    <row r="254" spans="1:23" x14ac:dyDescent="0.25">
      <c r="H254" s="96"/>
      <c r="T254" s="981"/>
      <c r="U254" s="981"/>
      <c r="V254" s="981"/>
      <c r="W254" s="981"/>
    </row>
    <row r="255" spans="1:23" x14ac:dyDescent="0.25">
      <c r="H255" s="96"/>
      <c r="T255" s="981"/>
      <c r="U255" s="981"/>
      <c r="V255" s="981"/>
      <c r="W255" s="981"/>
    </row>
    <row r="256" spans="1:23" x14ac:dyDescent="0.25">
      <c r="H256" s="96"/>
      <c r="T256" s="981"/>
      <c r="U256" s="981"/>
      <c r="V256" s="981"/>
      <c r="W256" s="981"/>
    </row>
    <row r="257" spans="8:23" x14ac:dyDescent="0.25">
      <c r="H257" s="96"/>
      <c r="T257" s="981"/>
      <c r="U257" s="981"/>
      <c r="V257" s="981"/>
      <c r="W257" s="981"/>
    </row>
    <row r="258" spans="8:23" x14ac:dyDescent="0.25">
      <c r="H258" s="96"/>
      <c r="T258" s="981"/>
      <c r="U258" s="981"/>
      <c r="V258" s="981"/>
      <c r="W258" s="981"/>
    </row>
    <row r="259" spans="8:23" x14ac:dyDescent="0.25">
      <c r="H259" s="96"/>
      <c r="T259" s="981"/>
      <c r="U259" s="981"/>
      <c r="V259" s="981"/>
      <c r="W259" s="981"/>
    </row>
    <row r="260" spans="8:23" x14ac:dyDescent="0.25">
      <c r="H260" s="96"/>
      <c r="T260" s="981"/>
      <c r="U260" s="981"/>
      <c r="V260" s="981"/>
      <c r="W260" s="981"/>
    </row>
    <row r="261" spans="8:23" x14ac:dyDescent="0.25">
      <c r="H261" s="96"/>
      <c r="T261" s="981"/>
      <c r="U261" s="981"/>
      <c r="V261" s="981"/>
      <c r="W261" s="981"/>
    </row>
    <row r="262" spans="8:23" x14ac:dyDescent="0.25">
      <c r="H262" s="96"/>
      <c r="T262" s="981"/>
      <c r="U262" s="981"/>
      <c r="V262" s="981"/>
      <c r="W262" s="981"/>
    </row>
    <row r="263" spans="8:23" x14ac:dyDescent="0.25">
      <c r="H263" s="96"/>
      <c r="T263" s="981"/>
      <c r="U263" s="981"/>
      <c r="V263" s="981"/>
      <c r="W263" s="981"/>
    </row>
    <row r="264" spans="8:23" x14ac:dyDescent="0.25">
      <c r="H264" s="96"/>
      <c r="T264" s="981"/>
      <c r="U264" s="981"/>
      <c r="V264" s="981"/>
      <c r="W264" s="981"/>
    </row>
    <row r="265" spans="8:23" x14ac:dyDescent="0.25">
      <c r="H265" s="96"/>
      <c r="T265" s="981"/>
      <c r="U265" s="981"/>
      <c r="V265" s="981"/>
      <c r="W265" s="981"/>
    </row>
    <row r="266" spans="8:23" x14ac:dyDescent="0.25">
      <c r="H266" s="96"/>
      <c r="T266" s="981"/>
      <c r="U266" s="981"/>
      <c r="V266" s="981"/>
      <c r="W266" s="981"/>
    </row>
    <row r="267" spans="8:23" x14ac:dyDescent="0.25">
      <c r="H267" s="96"/>
      <c r="T267" s="981"/>
      <c r="U267" s="981"/>
      <c r="V267" s="981"/>
      <c r="W267" s="981"/>
    </row>
    <row r="268" spans="8:23" x14ac:dyDescent="0.25">
      <c r="H268" s="96"/>
      <c r="T268" s="981"/>
      <c r="U268" s="981"/>
      <c r="V268" s="981"/>
      <c r="W268" s="981"/>
    </row>
    <row r="269" spans="8:23" x14ac:dyDescent="0.25">
      <c r="H269" s="96"/>
      <c r="T269" s="981"/>
      <c r="U269" s="981"/>
      <c r="V269" s="981"/>
      <c r="W269" s="981"/>
    </row>
    <row r="270" spans="8:23" x14ac:dyDescent="0.25">
      <c r="H270" s="96"/>
      <c r="T270" s="981"/>
      <c r="U270" s="981"/>
      <c r="V270" s="981"/>
      <c r="W270" s="981"/>
    </row>
    <row r="271" spans="8:23" x14ac:dyDescent="0.25">
      <c r="H271" s="96"/>
      <c r="T271" s="981"/>
      <c r="U271" s="981"/>
      <c r="V271" s="981"/>
      <c r="W271" s="981"/>
    </row>
    <row r="272" spans="8:23" x14ac:dyDescent="0.25">
      <c r="H272" s="96"/>
    </row>
    <row r="273" spans="8:8" x14ac:dyDescent="0.25">
      <c r="H273" s="96"/>
    </row>
    <row r="274" spans="8:8" x14ac:dyDescent="0.25">
      <c r="H274" s="96"/>
    </row>
    <row r="275" spans="8:8" x14ac:dyDescent="0.25">
      <c r="H275" s="96"/>
    </row>
    <row r="276" spans="8:8" x14ac:dyDescent="0.25">
      <c r="H276" s="96"/>
    </row>
    <row r="277" spans="8:8" x14ac:dyDescent="0.25">
      <c r="H277" s="96"/>
    </row>
    <row r="278" spans="8:8" x14ac:dyDescent="0.25">
      <c r="H278" s="96"/>
    </row>
    <row r="279" spans="8:8" x14ac:dyDescent="0.25">
      <c r="H279" s="96"/>
    </row>
    <row r="280" spans="8:8" x14ac:dyDescent="0.25">
      <c r="H280" s="96"/>
    </row>
    <row r="281" spans="8:8" x14ac:dyDescent="0.25">
      <c r="H281" s="96"/>
    </row>
    <row r="282" spans="8:8" x14ac:dyDescent="0.25">
      <c r="H282" s="96"/>
    </row>
    <row r="283" spans="8:8" x14ac:dyDescent="0.25">
      <c r="H283" s="96"/>
    </row>
    <row r="284" spans="8:8" x14ac:dyDescent="0.25">
      <c r="H284" s="96"/>
    </row>
    <row r="285" spans="8:8" x14ac:dyDescent="0.25">
      <c r="H285" s="96"/>
    </row>
    <row r="286" spans="8:8" x14ac:dyDescent="0.25">
      <c r="H286" s="96"/>
    </row>
    <row r="287" spans="8:8" x14ac:dyDescent="0.25">
      <c r="H287" s="96"/>
    </row>
    <row r="288" spans="8:8" x14ac:dyDescent="0.25">
      <c r="H288" s="96"/>
    </row>
    <row r="289" spans="8:8" x14ac:dyDescent="0.25">
      <c r="H289" s="96"/>
    </row>
    <row r="290" spans="8:8" x14ac:dyDescent="0.25">
      <c r="H290" s="96"/>
    </row>
    <row r="291" spans="8:8" x14ac:dyDescent="0.25">
      <c r="H291" s="96"/>
    </row>
    <row r="292" spans="8:8" x14ac:dyDescent="0.25">
      <c r="H292" s="96"/>
    </row>
    <row r="293" spans="8:8" x14ac:dyDescent="0.25">
      <c r="H293" s="96"/>
    </row>
    <row r="294" spans="8:8" x14ac:dyDescent="0.25">
      <c r="H294" s="96"/>
    </row>
    <row r="295" spans="8:8" x14ac:dyDescent="0.25">
      <c r="H295" s="96"/>
    </row>
    <row r="296" spans="8:8" x14ac:dyDescent="0.25">
      <c r="H296" s="96"/>
    </row>
    <row r="297" spans="8:8" x14ac:dyDescent="0.25">
      <c r="H297" s="96"/>
    </row>
    <row r="298" spans="8:8" x14ac:dyDescent="0.25">
      <c r="H298" s="96"/>
    </row>
    <row r="299" spans="8:8" x14ac:dyDescent="0.25">
      <c r="H299" s="96"/>
    </row>
    <row r="300" spans="8:8" x14ac:dyDescent="0.25">
      <c r="H300" s="96"/>
    </row>
    <row r="301" spans="8:8" x14ac:dyDescent="0.25">
      <c r="H301" s="96"/>
    </row>
    <row r="302" spans="8:8" x14ac:dyDescent="0.25">
      <c r="H302" s="96"/>
    </row>
  </sheetData>
  <sheetProtection algorithmName="SHA-512" hashValue="g+u9/2Gt63YleHvakgQVqhTiUJIILcRraa1UaXYwssD1wlHDHVcdnA+TM6iaYtdUxaHkcXB8R5Ik5XhbEVmSBw==" saltValue="JDjAkv9tN/CmN1iIjbmsRA==" spinCount="100000" sheet="1" objects="1" scenarios="1"/>
  <protectedRanges>
    <protectedRange sqref="I2" name="Sortering"/>
  </protectedRanges>
  <mergeCells count="16">
    <mergeCell ref="S6:S11"/>
    <mergeCell ref="S73:S75"/>
    <mergeCell ref="S61:S63"/>
    <mergeCell ref="S64:S66"/>
    <mergeCell ref="N5:O5"/>
    <mergeCell ref="S39:S42"/>
    <mergeCell ref="S44:S46"/>
    <mergeCell ref="S50:S55"/>
    <mergeCell ref="S56:S59"/>
    <mergeCell ref="S67:S69"/>
    <mergeCell ref="S35:S38"/>
    <mergeCell ref="S29:S34"/>
    <mergeCell ref="S12:S14"/>
    <mergeCell ref="S15:S19"/>
    <mergeCell ref="S20:S23"/>
    <mergeCell ref="S24:S27"/>
  </mergeCells>
  <phoneticPr fontId="52" type="noConversion"/>
  <conditionalFormatting sqref="I2">
    <cfRule type="expression" dxfId="453" priority="5">
      <formula>$Z2=2</formula>
    </cfRule>
  </conditionalFormatting>
  <conditionalFormatting sqref="I2">
    <cfRule type="expression" dxfId="452" priority="165">
      <formula>I2&gt;#REF!</formula>
    </cfRule>
  </conditionalFormatting>
  <conditionalFormatting sqref="I78:I80 I82:I107 I7:I36 I38:I76">
    <cfRule type="expression" dxfId="451" priority="3">
      <formula>I7="FEIL"</formula>
    </cfRule>
  </conditionalFormatting>
  <conditionalFormatting sqref="I77">
    <cfRule type="expression" dxfId="450" priority="2">
      <formula>I77="FEIL"</formula>
    </cfRule>
  </conditionalFormatting>
  <conditionalFormatting sqref="I81">
    <cfRule type="expression" dxfId="449" priority="1">
      <formula>I81="FEIL"</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'Assessment Details'!$O$51:$O$52</xm:f>
          </x14:formula1>
          <xm:sqref>I2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L371"/>
  <sheetViews>
    <sheetView zoomScale="85" zoomScaleNormal="85" workbookViewId="0">
      <pane xSplit="5" topLeftCell="F1" activePane="topRight" state="frozen"/>
      <selection activeCell="A142" sqref="A142"/>
      <selection pane="topRight" activeCell="BP242" sqref="BP242:BQ242"/>
    </sheetView>
  </sheetViews>
  <sheetFormatPr defaultColWidth="9.140625" defaultRowHeight="15" x14ac:dyDescent="0.25"/>
  <cols>
    <col min="1" max="1" width="8.42578125" style="96" customWidth="1"/>
    <col min="2" max="3" width="10.7109375" style="96" customWidth="1"/>
    <col min="4" max="4" width="8.7109375" style="96" customWidth="1"/>
    <col min="5" max="5" width="60.85546875" style="96" customWidth="1"/>
    <col min="6" max="14" width="11.28515625" style="763" customWidth="1"/>
    <col min="15" max="15" width="11.5703125" style="763" customWidth="1"/>
    <col min="16" max="18" width="11.28515625" style="763" customWidth="1"/>
    <col min="19" max="19" width="11.5703125" style="96" customWidth="1"/>
    <col min="20" max="20" width="15.7109375" style="96" customWidth="1"/>
    <col min="21" max="21" width="7" style="96" customWidth="1"/>
    <col min="22" max="22" width="5.5703125" style="96" customWidth="1"/>
    <col min="23" max="23" width="6.5703125" style="96" customWidth="1"/>
    <col min="24" max="24" width="6.85546875" style="96" customWidth="1"/>
    <col min="25" max="25" width="9.42578125" style="96" customWidth="1"/>
    <col min="26" max="26" width="11.28515625" style="96" customWidth="1"/>
    <col min="27" max="27" width="5.7109375" style="96" customWidth="1"/>
    <col min="28" max="28" width="14" style="96" customWidth="1"/>
    <col min="29" max="29" width="6.85546875" style="96" customWidth="1"/>
    <col min="30" max="30" width="14.5703125" style="96" customWidth="1"/>
    <col min="31" max="33" width="17.5703125" style="96" customWidth="1"/>
    <col min="34" max="34" width="8.42578125" style="96" customWidth="1"/>
    <col min="35" max="35" width="14.42578125" style="96" customWidth="1"/>
    <col min="36" max="36" width="10.42578125" style="96" customWidth="1"/>
    <col min="37" max="37" width="9.5703125" style="96" customWidth="1"/>
    <col min="38" max="38" width="9.42578125" style="96" customWidth="1"/>
    <col min="39" max="43" width="4.28515625" style="96" customWidth="1"/>
    <col min="44" max="44" width="3.7109375" style="96" customWidth="1"/>
    <col min="45" max="49" width="4.28515625" style="96" customWidth="1"/>
    <col min="50" max="50" width="3.140625" style="96" customWidth="1"/>
    <col min="51" max="54" width="4" style="96" customWidth="1"/>
    <col min="55" max="55" width="4.28515625" style="96" customWidth="1"/>
    <col min="56" max="56" width="10.85546875" style="96" customWidth="1"/>
    <col min="57" max="57" width="26.7109375" style="96" customWidth="1"/>
    <col min="58" max="58" width="5.85546875" style="96" customWidth="1"/>
    <col min="59" max="59" width="6.7109375" style="96" customWidth="1"/>
    <col min="60" max="60" width="26.7109375" style="96" customWidth="1"/>
    <col min="61" max="61" width="6.5703125" style="96" customWidth="1"/>
    <col min="62" max="62" width="6.7109375" style="96" customWidth="1"/>
    <col min="63" max="63" width="26.7109375" style="96" customWidth="1"/>
    <col min="64" max="64" width="5.7109375" style="96" customWidth="1"/>
    <col min="65" max="65" width="9.140625" style="96" customWidth="1"/>
    <col min="66" max="66" width="4.42578125" style="96" customWidth="1"/>
    <col min="67" max="67" width="10.28515625" style="96" customWidth="1"/>
    <col min="68" max="68" width="13.28515625" style="96" customWidth="1"/>
    <col min="69" max="69" width="12.7109375" style="96" customWidth="1"/>
    <col min="70" max="70" width="10.140625" style="96" customWidth="1"/>
    <col min="71" max="71" width="9" style="96" customWidth="1"/>
    <col min="72" max="72" width="15.140625" style="96" bestFit="1" customWidth="1"/>
    <col min="73" max="73" width="9.140625" style="96" customWidth="1"/>
    <col min="74" max="74" width="10.140625" style="96" customWidth="1"/>
    <col min="75" max="75" width="9.140625" style="96"/>
    <col min="76" max="76" width="30.7109375" style="96" bestFit="1" customWidth="1"/>
    <col min="77" max="77" width="14.7109375" style="96" bestFit="1" customWidth="1"/>
    <col min="78" max="79" width="9.140625" style="96"/>
    <col min="80" max="80" width="20.85546875" style="96" bestFit="1" customWidth="1"/>
    <col min="81" max="81" width="11.28515625" style="96" bestFit="1" customWidth="1"/>
    <col min="82" max="82" width="8.7109375" style="96" bestFit="1" customWidth="1"/>
    <col min="83" max="83" width="12.7109375" style="96" bestFit="1" customWidth="1"/>
    <col min="84" max="84" width="9.140625" style="96"/>
    <col min="85" max="85" width="14.28515625" style="96" bestFit="1" customWidth="1"/>
    <col min="86" max="86" width="9.140625" style="96"/>
    <col min="87" max="87" width="12.28515625" style="96" customWidth="1"/>
    <col min="88" max="16384" width="9.140625" style="96"/>
  </cols>
  <sheetData>
    <row r="1" spans="1:90" x14ac:dyDescent="0.25">
      <c r="B1" s="667">
        <v>1</v>
      </c>
      <c r="C1" s="667">
        <v>2</v>
      </c>
      <c r="D1" s="667">
        <v>3</v>
      </c>
      <c r="E1" s="667">
        <v>4</v>
      </c>
      <c r="F1" s="667">
        <v>5</v>
      </c>
      <c r="G1" s="667">
        <v>6</v>
      </c>
      <c r="H1" s="667">
        <v>7</v>
      </c>
      <c r="I1" s="667">
        <v>8</v>
      </c>
      <c r="J1" s="667">
        <v>9</v>
      </c>
      <c r="K1" s="667">
        <v>10</v>
      </c>
      <c r="L1" s="667">
        <v>11</v>
      </c>
      <c r="M1" s="667">
        <v>12</v>
      </c>
      <c r="N1" s="667">
        <v>13</v>
      </c>
      <c r="O1" s="667">
        <v>14</v>
      </c>
      <c r="P1" s="667">
        <v>15</v>
      </c>
      <c r="Q1" s="667">
        <v>16</v>
      </c>
      <c r="R1" s="667">
        <v>17</v>
      </c>
      <c r="S1" s="667">
        <v>18</v>
      </c>
      <c r="T1" s="667">
        <v>19</v>
      </c>
      <c r="U1" s="667">
        <v>20</v>
      </c>
      <c r="V1" s="667">
        <v>21</v>
      </c>
      <c r="W1" s="667">
        <v>22</v>
      </c>
      <c r="X1" s="667">
        <v>23</v>
      </c>
      <c r="Y1" s="667">
        <v>24</v>
      </c>
      <c r="Z1" s="667">
        <v>25</v>
      </c>
      <c r="AA1" s="667">
        <v>26</v>
      </c>
      <c r="AB1" s="667">
        <v>27</v>
      </c>
      <c r="AC1" s="667">
        <v>28</v>
      </c>
      <c r="AD1" s="667">
        <v>29</v>
      </c>
      <c r="AE1" s="667">
        <v>30</v>
      </c>
      <c r="AF1" s="667">
        <v>31</v>
      </c>
      <c r="AG1" s="667">
        <v>32</v>
      </c>
      <c r="AH1" s="667">
        <v>33</v>
      </c>
      <c r="AI1" s="667">
        <v>34</v>
      </c>
      <c r="AJ1" s="667">
        <v>35</v>
      </c>
      <c r="AK1" s="667">
        <v>36</v>
      </c>
      <c r="AL1" s="667">
        <v>37</v>
      </c>
      <c r="AM1" s="667">
        <v>38</v>
      </c>
      <c r="AN1" s="667">
        <v>39</v>
      </c>
      <c r="AO1" s="667">
        <v>40</v>
      </c>
      <c r="AP1" s="667">
        <v>41</v>
      </c>
      <c r="AQ1" s="667">
        <v>42</v>
      </c>
      <c r="AR1" s="667">
        <v>43</v>
      </c>
      <c r="AS1" s="667">
        <v>44</v>
      </c>
      <c r="AT1" s="667">
        <v>45</v>
      </c>
      <c r="AU1" s="667">
        <v>46</v>
      </c>
      <c r="AV1" s="667">
        <v>47</v>
      </c>
      <c r="AW1" s="667">
        <v>48</v>
      </c>
      <c r="AX1" s="667">
        <v>49</v>
      </c>
      <c r="AY1" s="667">
        <v>50</v>
      </c>
      <c r="AZ1" s="667">
        <v>51</v>
      </c>
      <c r="BA1" s="667">
        <v>52</v>
      </c>
      <c r="BB1" s="667">
        <v>53</v>
      </c>
      <c r="BC1" s="667">
        <v>54</v>
      </c>
      <c r="BD1" s="667">
        <v>55</v>
      </c>
      <c r="BE1" s="667">
        <v>56</v>
      </c>
      <c r="BF1" s="667">
        <v>57</v>
      </c>
      <c r="BG1" s="667">
        <v>58</v>
      </c>
      <c r="BH1" s="667">
        <v>59</v>
      </c>
      <c r="BI1" s="667">
        <v>60</v>
      </c>
      <c r="BJ1" s="667">
        <v>61</v>
      </c>
      <c r="BK1" s="667">
        <v>62</v>
      </c>
      <c r="BL1" s="667">
        <v>63</v>
      </c>
      <c r="BM1" s="667">
        <v>64</v>
      </c>
      <c r="BN1" s="667">
        <v>65</v>
      </c>
      <c r="BO1" s="667">
        <v>66</v>
      </c>
      <c r="BP1" s="667">
        <v>67</v>
      </c>
      <c r="BQ1" s="667">
        <v>68</v>
      </c>
      <c r="BR1" s="667">
        <v>69</v>
      </c>
      <c r="BS1" s="667">
        <v>70</v>
      </c>
      <c r="BT1" s="667">
        <v>71</v>
      </c>
    </row>
    <row r="2" spans="1:90" x14ac:dyDescent="0.25">
      <c r="D2" s="96">
        <v>1</v>
      </c>
      <c r="E2" s="96">
        <v>2</v>
      </c>
      <c r="F2" s="763">
        <v>3</v>
      </c>
      <c r="G2" s="763">
        <v>4</v>
      </c>
      <c r="H2" s="763">
        <v>5</v>
      </c>
      <c r="I2" s="763">
        <v>6</v>
      </c>
      <c r="J2" s="763">
        <v>7</v>
      </c>
      <c r="K2" s="763">
        <v>8</v>
      </c>
      <c r="L2" s="763">
        <v>9</v>
      </c>
      <c r="M2" s="763">
        <v>10</v>
      </c>
      <c r="N2" s="763">
        <v>11</v>
      </c>
      <c r="O2" s="763">
        <v>12</v>
      </c>
      <c r="P2" s="763">
        <v>13</v>
      </c>
      <c r="Q2" s="763">
        <v>14</v>
      </c>
      <c r="R2" s="763">
        <v>15</v>
      </c>
      <c r="S2" s="763">
        <v>16</v>
      </c>
      <c r="T2" s="763">
        <v>17</v>
      </c>
      <c r="U2" s="763">
        <v>18</v>
      </c>
      <c r="V2" s="763">
        <v>19</v>
      </c>
      <c r="W2" s="763">
        <v>20</v>
      </c>
      <c r="X2" s="763">
        <v>21</v>
      </c>
      <c r="Y2" s="763">
        <v>22</v>
      </c>
      <c r="Z2" s="763">
        <v>23</v>
      </c>
      <c r="AA2" s="763">
        <v>24</v>
      </c>
      <c r="AB2" s="763">
        <v>25</v>
      </c>
      <c r="AC2" s="763">
        <v>26</v>
      </c>
      <c r="AD2" s="763">
        <v>27</v>
      </c>
      <c r="AE2" s="763">
        <v>28</v>
      </c>
      <c r="AF2" s="763">
        <v>29</v>
      </c>
      <c r="AG2" s="763">
        <v>30</v>
      </c>
      <c r="AH2" s="763">
        <v>31</v>
      </c>
      <c r="AI2" s="763">
        <v>32</v>
      </c>
      <c r="AJ2" s="763">
        <v>33</v>
      </c>
      <c r="AK2" s="763">
        <v>34</v>
      </c>
      <c r="AL2" s="763">
        <v>35</v>
      </c>
      <c r="AM2" s="763">
        <v>36</v>
      </c>
      <c r="AN2" s="763">
        <v>37</v>
      </c>
      <c r="AO2" s="763">
        <v>38</v>
      </c>
      <c r="AP2" s="763">
        <v>39</v>
      </c>
      <c r="AQ2" s="763">
        <v>40</v>
      </c>
      <c r="AR2" s="763">
        <v>41</v>
      </c>
      <c r="AS2" s="763">
        <v>42</v>
      </c>
      <c r="AT2" s="763">
        <v>43</v>
      </c>
      <c r="AU2" s="763">
        <v>44</v>
      </c>
      <c r="AV2" s="763">
        <v>45</v>
      </c>
      <c r="AW2" s="763">
        <v>46</v>
      </c>
      <c r="AX2" s="763">
        <v>47</v>
      </c>
      <c r="AY2" s="763">
        <v>48</v>
      </c>
      <c r="AZ2" s="763">
        <v>49</v>
      </c>
      <c r="BA2" s="763">
        <v>50</v>
      </c>
      <c r="BB2" s="763">
        <v>51</v>
      </c>
      <c r="BC2" s="763">
        <v>52</v>
      </c>
      <c r="BD2" s="763">
        <v>53</v>
      </c>
      <c r="BE2" s="763">
        <v>54</v>
      </c>
      <c r="BF2" s="763">
        <v>55</v>
      </c>
      <c r="BG2" s="763">
        <v>56</v>
      </c>
      <c r="BH2" s="763">
        <v>57</v>
      </c>
      <c r="BI2" s="763">
        <v>58</v>
      </c>
      <c r="BJ2" s="763">
        <v>59</v>
      </c>
      <c r="BK2" s="763">
        <v>60</v>
      </c>
      <c r="BL2" s="763">
        <v>61</v>
      </c>
    </row>
    <row r="3" spans="1:90" ht="15.75" thickBot="1" x14ac:dyDescent="0.3">
      <c r="A3" s="137" t="s">
        <v>88</v>
      </c>
      <c r="B3" s="137"/>
      <c r="C3" s="137"/>
      <c r="D3" s="137"/>
      <c r="E3" s="137"/>
      <c r="F3" s="764"/>
      <c r="G3" s="764"/>
      <c r="H3" s="764"/>
      <c r="I3" s="764"/>
      <c r="J3" s="764"/>
      <c r="K3" s="764"/>
      <c r="L3" s="764"/>
      <c r="M3" s="764"/>
      <c r="N3" s="764"/>
      <c r="O3" s="764"/>
      <c r="P3" s="764"/>
      <c r="Q3" s="764"/>
      <c r="R3" s="764"/>
      <c r="Y3" s="96" t="s">
        <v>36</v>
      </c>
    </row>
    <row r="4" spans="1:90" ht="15.75" thickBot="1" x14ac:dyDescent="0.3">
      <c r="G4" s="763" t="s">
        <v>405</v>
      </c>
      <c r="K4" s="1242" t="s">
        <v>1052</v>
      </c>
      <c r="Y4" s="137" t="str">
        <f>ADPT</f>
        <v>New Construction (fully fitted)</v>
      </c>
      <c r="BX4" s="678" t="s">
        <v>424</v>
      </c>
      <c r="BY4" s="679" t="s">
        <v>410</v>
      </c>
      <c r="CA4" s="673" t="s">
        <v>430</v>
      </c>
      <c r="CB4" s="96">
        <v>0</v>
      </c>
      <c r="CC4" s="96" t="s">
        <v>13</v>
      </c>
    </row>
    <row r="5" spans="1:90" ht="15.75" thickBot="1" x14ac:dyDescent="0.3">
      <c r="E5" s="138" t="s">
        <v>101</v>
      </c>
      <c r="G5" s="763" t="s">
        <v>406</v>
      </c>
      <c r="H5" s="765"/>
      <c r="K5" s="1244" t="s">
        <v>1053</v>
      </c>
      <c r="R5" s="766"/>
      <c r="Y5" s="96" t="str">
        <f>'Assessment Details'!Q12</f>
        <v>New Construction (shell and core)</v>
      </c>
      <c r="AB5" s="345" t="s">
        <v>336</v>
      </c>
      <c r="AC5" s="346" t="str">
        <f>'Manuell filtrering og justering'!I2</f>
        <v>No</v>
      </c>
      <c r="BX5" s="256" t="str">
        <f>'Pre-Assessment Estimator'!AJ4</f>
        <v>Nei</v>
      </c>
      <c r="BY5" s="241" t="str">
        <f>'Pre-Assessment Estimator'!AJ8</f>
        <v>Ja</v>
      </c>
      <c r="CA5" s="680" t="s">
        <v>432</v>
      </c>
      <c r="CB5" s="96">
        <v>1</v>
      </c>
    </row>
    <row r="6" spans="1:90" ht="15.75" thickBot="1" x14ac:dyDescent="0.3">
      <c r="E6" s="140" t="str">
        <f>ADBT0</f>
        <v>Office</v>
      </c>
      <c r="G6" s="763" t="s">
        <v>14</v>
      </c>
      <c r="K6" s="1246" t="s">
        <v>1054</v>
      </c>
      <c r="Y6" s="96" t="str">
        <f>ADPT02</f>
        <v>New Construction (shell only)</v>
      </c>
      <c r="BC6" s="141"/>
    </row>
    <row r="7" spans="1:90" ht="15.75" thickBot="1" x14ac:dyDescent="0.3">
      <c r="F7" s="952" t="s">
        <v>881</v>
      </c>
      <c r="K7" s="1248" t="s">
        <v>1055</v>
      </c>
      <c r="AE7" s="1322" t="s">
        <v>83</v>
      </c>
      <c r="AF7" s="1322"/>
      <c r="AG7" s="1322"/>
      <c r="BC7" s="141"/>
    </row>
    <row r="8" spans="1:90" ht="51" customHeight="1" thickBot="1" x14ac:dyDescent="0.3">
      <c r="D8" s="142" t="s">
        <v>100</v>
      </c>
      <c r="E8" s="143" t="s">
        <v>87</v>
      </c>
      <c r="F8" s="1326" t="s">
        <v>539</v>
      </c>
      <c r="G8" s="1327"/>
      <c r="H8" s="1327"/>
      <c r="I8" s="1327"/>
      <c r="J8" s="1327"/>
      <c r="K8" s="1327"/>
      <c r="L8" s="1327"/>
      <c r="M8" s="1327"/>
      <c r="N8" s="1327"/>
      <c r="O8" s="1327"/>
      <c r="P8" s="1327"/>
      <c r="Q8" s="1327"/>
      <c r="R8" s="1327"/>
      <c r="T8" s="57" t="s">
        <v>229</v>
      </c>
      <c r="U8" s="1328" t="s">
        <v>230</v>
      </c>
      <c r="V8" s="1329"/>
      <c r="W8" s="1329"/>
      <c r="X8" s="1329"/>
      <c r="Y8" s="1329"/>
      <c r="Z8" s="1330"/>
      <c r="AA8" s="144" t="s">
        <v>215</v>
      </c>
      <c r="AB8" s="59" t="s">
        <v>15</v>
      </c>
      <c r="AD8" s="926" t="s">
        <v>82</v>
      </c>
      <c r="AE8" s="927" t="s">
        <v>231</v>
      </c>
      <c r="AF8" s="927" t="s">
        <v>232</v>
      </c>
      <c r="AG8" s="927" t="s">
        <v>233</v>
      </c>
      <c r="AI8" s="59" t="s">
        <v>231</v>
      </c>
      <c r="AJ8" s="59" t="s">
        <v>232</v>
      </c>
      <c r="AK8" s="59" t="s">
        <v>233</v>
      </c>
      <c r="AM8" s="1331" t="s">
        <v>238</v>
      </c>
      <c r="AN8" s="1332"/>
      <c r="AO8" s="1332"/>
      <c r="AP8" s="1332"/>
      <c r="AQ8" s="1333"/>
      <c r="AS8" s="1331" t="s">
        <v>9</v>
      </c>
      <c r="AT8" s="1332"/>
      <c r="AU8" s="1332"/>
      <c r="AV8" s="1332"/>
      <c r="AW8" s="1333"/>
      <c r="AY8" s="1331" t="str">
        <f>"Chosen "&amp;E6</f>
        <v>Chosen Office</v>
      </c>
      <c r="AZ8" s="1332"/>
      <c r="BA8" s="1332"/>
      <c r="BB8" s="1332"/>
      <c r="BC8" s="1332"/>
      <c r="BD8" s="1340" t="s">
        <v>231</v>
      </c>
      <c r="BE8" s="1341"/>
      <c r="BF8" s="1341"/>
      <c r="BG8" s="1342" t="s">
        <v>232</v>
      </c>
      <c r="BH8" s="1338"/>
      <c r="BI8" s="1339"/>
      <c r="BJ8" s="1337" t="s">
        <v>233</v>
      </c>
      <c r="BK8" s="1338"/>
      <c r="BL8" s="1339"/>
      <c r="BO8" s="1334" t="s">
        <v>980</v>
      </c>
      <c r="BP8" s="1335"/>
      <c r="BQ8" s="1336"/>
      <c r="BR8" s="1144"/>
      <c r="BS8" s="1144"/>
      <c r="BT8" s="1144"/>
      <c r="BW8" s="251" t="s">
        <v>425</v>
      </c>
      <c r="BX8" s="251"/>
      <c r="BY8" s="251"/>
      <c r="BZ8" s="251"/>
      <c r="CA8" s="251"/>
      <c r="CB8" s="251"/>
      <c r="CC8" s="682" t="s">
        <v>435</v>
      </c>
      <c r="CD8" s="682" t="s">
        <v>437</v>
      </c>
      <c r="CE8" s="251" t="s">
        <v>434</v>
      </c>
      <c r="CF8" s="251"/>
      <c r="CG8" s="251"/>
      <c r="CH8" s="251"/>
      <c r="CI8" s="686" t="s">
        <v>459</v>
      </c>
      <c r="CJ8" s="251"/>
      <c r="CK8" s="251"/>
      <c r="CL8" s="251"/>
    </row>
    <row r="9" spans="1:90" ht="58.5" customHeight="1" thickBot="1" x14ac:dyDescent="0.3">
      <c r="A9" s="96">
        <v>1</v>
      </c>
      <c r="D9" s="151"/>
      <c r="E9" s="152" t="s">
        <v>63</v>
      </c>
      <c r="F9" s="1243" t="str">
        <f>ADBT2</f>
        <v>Office</v>
      </c>
      <c r="G9" s="1243" t="str">
        <f>ADBT3</f>
        <v>Retail</v>
      </c>
      <c r="H9" s="1247" t="str">
        <f>ADBT12</f>
        <v>Residential</v>
      </c>
      <c r="I9" s="1243" t="str">
        <f>ADBT1</f>
        <v>Industrial</v>
      </c>
      <c r="J9" s="1245" t="str">
        <f>ADBT13</f>
        <v>Healthcare</v>
      </c>
      <c r="K9" s="1245" t="str">
        <f>ADBT14</f>
        <v>Prison</v>
      </c>
      <c r="L9" s="1245" t="str">
        <f>ADBT15</f>
        <v>Law Court</v>
      </c>
      <c r="M9" s="1249" t="str">
        <f>ADBT16</f>
        <v>Residential institution (long term stay)</v>
      </c>
      <c r="N9" s="918" t="str">
        <f>ADBT17</f>
        <v>Residential institution (short term stay)</v>
      </c>
      <c r="O9" s="918" t="str">
        <f>ADBT18</f>
        <v>Non-residential institution</v>
      </c>
      <c r="P9" s="918" t="str">
        <f>ADBT19</f>
        <v>Assembly and leisure</v>
      </c>
      <c r="Q9" s="1245" t="str">
        <f>ADBT8</f>
        <v>Education</v>
      </c>
      <c r="R9" s="857" t="str">
        <f>ADBT20</f>
        <v>Other</v>
      </c>
      <c r="T9" s="147" t="str">
        <f>$E$6</f>
        <v>Office</v>
      </c>
      <c r="U9" s="148"/>
      <c r="V9" s="149"/>
      <c r="W9" s="149"/>
      <c r="X9" s="1164"/>
      <c r="Y9" s="1178" t="s">
        <v>413</v>
      </c>
      <c r="Z9" s="1176" t="s">
        <v>336</v>
      </c>
      <c r="AA9" s="1171" t="s">
        <v>215</v>
      </c>
      <c r="AB9" s="1172"/>
      <c r="AI9" s="77"/>
      <c r="AJ9" s="60"/>
      <c r="AK9" s="60"/>
      <c r="AM9" s="151" t="s">
        <v>89</v>
      </c>
      <c r="AN9" s="152" t="s">
        <v>90</v>
      </c>
      <c r="AO9" s="152" t="s">
        <v>91</v>
      </c>
      <c r="AP9" s="152" t="s">
        <v>237</v>
      </c>
      <c r="AQ9" s="153" t="s">
        <v>92</v>
      </c>
      <c r="AS9" s="145" t="s">
        <v>89</v>
      </c>
      <c r="AT9" s="146" t="s">
        <v>90</v>
      </c>
      <c r="AU9" s="146" t="s">
        <v>91</v>
      </c>
      <c r="AV9" s="146" t="s">
        <v>237</v>
      </c>
      <c r="AW9" s="154" t="s">
        <v>92</v>
      </c>
      <c r="AY9" s="145" t="s">
        <v>89</v>
      </c>
      <c r="AZ9" s="146" t="s">
        <v>90</v>
      </c>
      <c r="BA9" s="146" t="s">
        <v>91</v>
      </c>
      <c r="BB9" s="146" t="s">
        <v>237</v>
      </c>
      <c r="BC9" s="155" t="s">
        <v>92</v>
      </c>
      <c r="BD9" s="156" t="s">
        <v>239</v>
      </c>
      <c r="BE9" s="157" t="s">
        <v>52</v>
      </c>
      <c r="BF9" s="157"/>
      <c r="BG9" s="158" t="s">
        <v>239</v>
      </c>
      <c r="BH9" s="159" t="s">
        <v>52</v>
      </c>
      <c r="BI9" s="160"/>
      <c r="BJ9" s="161" t="s">
        <v>239</v>
      </c>
      <c r="BK9" s="159" t="s">
        <v>52</v>
      </c>
      <c r="BL9" s="162"/>
      <c r="BO9" s="682" t="s">
        <v>981</v>
      </c>
      <c r="BP9" s="682" t="s">
        <v>982</v>
      </c>
      <c r="BQ9" s="1147" t="s">
        <v>983</v>
      </c>
      <c r="BR9" s="1144" t="s">
        <v>984</v>
      </c>
      <c r="BS9" s="1144" t="s">
        <v>985</v>
      </c>
      <c r="BT9" s="1144" t="s">
        <v>986</v>
      </c>
      <c r="BW9" s="146"/>
      <c r="BX9" s="146" t="str">
        <f>E9</f>
        <v>Management</v>
      </c>
      <c r="BY9" s="146" t="s">
        <v>428</v>
      </c>
      <c r="BZ9" s="146" t="s">
        <v>426</v>
      </c>
      <c r="CA9" s="146" t="s">
        <v>436</v>
      </c>
      <c r="CB9" s="146" t="s">
        <v>433</v>
      </c>
      <c r="CG9" s="96" t="s">
        <v>429</v>
      </c>
    </row>
    <row r="10" spans="1:90" x14ac:dyDescent="0.25">
      <c r="A10" s="96">
        <v>2</v>
      </c>
      <c r="B10" s="137" t="str">
        <f>D10</f>
        <v>Man 01</v>
      </c>
      <c r="C10" s="137" t="str">
        <f>B10</f>
        <v>Man 01</v>
      </c>
      <c r="D10" s="832" t="s">
        <v>93</v>
      </c>
      <c r="E10" s="832" t="s">
        <v>307</v>
      </c>
      <c r="F10" s="933">
        <f>SUM(F11:F15)</f>
        <v>5</v>
      </c>
      <c r="G10" s="933">
        <f t="shared" ref="G10:R10" si="0">SUM(G11:G15)</f>
        <v>5</v>
      </c>
      <c r="H10" s="933">
        <f t="shared" si="0"/>
        <v>5</v>
      </c>
      <c r="I10" s="933">
        <f t="shared" si="0"/>
        <v>5</v>
      </c>
      <c r="J10" s="933">
        <f t="shared" si="0"/>
        <v>5</v>
      </c>
      <c r="K10" s="933">
        <f t="shared" si="0"/>
        <v>5</v>
      </c>
      <c r="L10" s="933">
        <f t="shared" si="0"/>
        <v>5</v>
      </c>
      <c r="M10" s="933">
        <f t="shared" si="0"/>
        <v>5</v>
      </c>
      <c r="N10" s="933">
        <f t="shared" si="0"/>
        <v>5</v>
      </c>
      <c r="O10" s="933">
        <f t="shared" si="0"/>
        <v>5</v>
      </c>
      <c r="P10" s="933">
        <f t="shared" si="0"/>
        <v>5</v>
      </c>
      <c r="Q10" s="933">
        <f t="shared" ref="Q10" si="1">SUM(Q11:Q15)</f>
        <v>5</v>
      </c>
      <c r="R10" s="933">
        <f t="shared" si="0"/>
        <v>5</v>
      </c>
      <c r="S10" s="667"/>
      <c r="T10" s="919">
        <f t="shared" ref="T10:T36" si="2">HLOOKUP($E$6,$F$9:$R$231,$A10,FALSE)</f>
        <v>5</v>
      </c>
      <c r="U10" s="166"/>
      <c r="V10" s="167"/>
      <c r="W10" s="167"/>
      <c r="X10" s="168">
        <f>'Manuell filtrering og justering'!E7</f>
        <v>0</v>
      </c>
      <c r="Y10" s="169"/>
      <c r="Z10" s="1177">
        <f t="shared" ref="Z10" si="3">SUM(Z11:Z15)</f>
        <v>6</v>
      </c>
      <c r="AA10" s="1169">
        <f>IF(SUM(U10:Y10)&gt;T10,T10,SUM(U10:Y10))</f>
        <v>0</v>
      </c>
      <c r="AB10" s="1173">
        <f>SUM(AB11:AB15)</f>
        <v>5</v>
      </c>
      <c r="AD10" s="921">
        <f t="shared" ref="AD10:AD33" si="4">(Man_Weight/Man_Credits)*AB10</f>
        <v>3.0952380952380953E-2</v>
      </c>
      <c r="AE10" s="921">
        <f>SUM(AE11:AE15)</f>
        <v>0</v>
      </c>
      <c r="AF10" s="921">
        <f>SUM(AF11:AF15)</f>
        <v>0</v>
      </c>
      <c r="AG10" s="921">
        <f>SUM(AG11:AG15)</f>
        <v>0</v>
      </c>
      <c r="AI10" s="922">
        <f t="shared" ref="AI10:AK10" si="5">SUM(AI11:AI15)</f>
        <v>0</v>
      </c>
      <c r="AJ10" s="922">
        <f t="shared" si="5"/>
        <v>0</v>
      </c>
      <c r="AK10" s="922">
        <f t="shared" si="5"/>
        <v>0</v>
      </c>
      <c r="AM10" s="173"/>
      <c r="AN10" s="290"/>
      <c r="AO10" s="290"/>
      <c r="AP10" s="181"/>
      <c r="AQ10" s="186"/>
      <c r="AS10" s="291"/>
      <c r="AT10" s="181"/>
      <c r="AU10" s="181"/>
      <c r="AV10" s="181"/>
      <c r="AW10" s="186"/>
      <c r="AX10" s="141"/>
      <c r="AY10" s="174"/>
      <c r="AZ10" s="175"/>
      <c r="BA10" s="175"/>
      <c r="BB10" s="175"/>
      <c r="BC10" s="176"/>
      <c r="BD10" s="174">
        <f>IF(BC10=0,9,IF(AI10&gt;=BC10,5,IF(AI10&gt;=BB10,4,IF(AI10&gt;=BA10,3,IF(AI10&gt;=AZ10,2,IF(AI10&lt;AY10,0,1))))))</f>
        <v>9</v>
      </c>
      <c r="BE10" s="177" t="str">
        <f t="shared" ref="BE10:BE35" si="6">VLOOKUP(BD10,$BO$283:$BT$289,6,FALSE)</f>
        <v>N/A</v>
      </c>
      <c r="BF10" s="178"/>
      <c r="BG10" s="174">
        <f t="shared" ref="BG10:BG35" si="7">IF(BC10=0,9,IF(AJ10&gt;=BC10,5,IF(AJ10&gt;=BB10,4,IF(AJ10&gt;=BA10,3,IF(AJ10&gt;=AZ10,2,IF(AJ10&lt;AY10,0,1))))))</f>
        <v>9</v>
      </c>
      <c r="BH10" s="177" t="str">
        <f t="shared" ref="BH10:BH35" si="8">VLOOKUP(BG10,$BO$283:$BT$289,6,FALSE)</f>
        <v>N/A</v>
      </c>
      <c r="BI10" s="178"/>
      <c r="BJ10" s="174">
        <f>IF(BC10=0,9,IF(AK10&gt;=BC10,5,IF(AK10&gt;=BB10,4,IF(AK10&gt;=BA10,3,IF(AK10&gt;=AZ10,2,IF(AK10&lt;AY10,0,1))))))</f>
        <v>9</v>
      </c>
      <c r="BK10" s="177" t="str">
        <f t="shared" ref="BK10:BK35" si="9">VLOOKUP(BJ10,$BO$283:$BT$289,6,FALSE)</f>
        <v>N/A</v>
      </c>
      <c r="BL10" s="178"/>
      <c r="BO10" s="167"/>
      <c r="BP10" s="167"/>
      <c r="BQ10" s="167" t="str">
        <f>IF(BO10&lt;&gt;"",BO10,IF(BP10&lt;&gt;"",BP10,""))</f>
        <v/>
      </c>
      <c r="BR10" s="167">
        <f>IF(BQ10="",9,(IF(AI10&gt;=BQ10,5,0)))</f>
        <v>9</v>
      </c>
      <c r="BS10" s="167">
        <f>IF(BQ10="",9,(IF(AJ10&gt;=BQ10,5,0)))</f>
        <v>9</v>
      </c>
      <c r="BT10" s="167">
        <f>IF(BQ10="",9,(IF(AK10&gt;=BQ10,5,0)))</f>
        <v>9</v>
      </c>
      <c r="BW10" s="676" t="str">
        <f>D10</f>
        <v>Man 01</v>
      </c>
      <c r="BX10" s="676" t="str">
        <f>IFERROR(VLOOKUP($E10,'Pre-Assessment Estimator'!$E$11:$AB$225,'Pre-Assessment Estimator'!AB$2,FALSE),"")</f>
        <v>No</v>
      </c>
      <c r="BY10" s="288">
        <f>IFERROR(VLOOKUP($E10,'Pre-Assessment Estimator'!$E$11:$AI$225,'Pre-Assessment Estimator'!AI$2,FALSE),"")</f>
        <v>0</v>
      </c>
      <c r="BZ10" s="288">
        <f>IFERROR(VLOOKUP($BX10,$E$292:$H$325,F$290,FALSE),"")</f>
        <v>1</v>
      </c>
      <c r="CA10" s="288">
        <f>IFERROR(VLOOKUP($BX10,$E$292:$H$325,G$290,FALSE),"")</f>
        <v>0</v>
      </c>
      <c r="CB10" s="288"/>
      <c r="CC10" s="96" t="str">
        <f>IFERROR(VLOOKUP($BX10,$E$292:$H$325,I$290,FALSE),"")</f>
        <v/>
      </c>
    </row>
    <row r="11" spans="1:90" x14ac:dyDescent="0.25">
      <c r="A11" s="96">
        <v>3</v>
      </c>
      <c r="B11" s="96" t="str">
        <f t="shared" ref="B11:B15" si="10">$D$10&amp;D11</f>
        <v>Man 01a</v>
      </c>
      <c r="C11" s="96" t="str">
        <f>C10</f>
        <v>Man 01</v>
      </c>
      <c r="D11" s="167" t="s">
        <v>694</v>
      </c>
      <c r="E11" s="1108" t="s">
        <v>591</v>
      </c>
      <c r="F11" s="775">
        <v>1</v>
      </c>
      <c r="G11" s="775">
        <v>1</v>
      </c>
      <c r="H11" s="775">
        <v>1</v>
      </c>
      <c r="I11" s="775">
        <v>1</v>
      </c>
      <c r="J11" s="775">
        <v>1</v>
      </c>
      <c r="K11" s="775">
        <v>1</v>
      </c>
      <c r="L11" s="775">
        <v>1</v>
      </c>
      <c r="M11" s="775">
        <v>1</v>
      </c>
      <c r="N11" s="775">
        <v>1</v>
      </c>
      <c r="O11" s="775">
        <v>1</v>
      </c>
      <c r="P11" s="775">
        <v>1</v>
      </c>
      <c r="Q11" s="775">
        <v>1</v>
      </c>
      <c r="R11" s="775">
        <v>1</v>
      </c>
      <c r="S11" s="667"/>
      <c r="T11" s="165">
        <f t="shared" si="2"/>
        <v>1</v>
      </c>
      <c r="U11" s="166"/>
      <c r="V11" s="167"/>
      <c r="W11" s="167"/>
      <c r="X11" s="168"/>
      <c r="Y11" s="169"/>
      <c r="Z11" s="1160">
        <f>VLOOKUP(B11,'Manuell filtrering og justering'!$A$7:$H$107,'Manuell filtrering og justering'!$H$1,FALSE)</f>
        <v>1</v>
      </c>
      <c r="AA11" s="1169">
        <f t="shared" ref="AA11:AA35" si="11">IF(SUM(U11:Y11)&gt;T11,T11,SUM(U11:Y11))</f>
        <v>0</v>
      </c>
      <c r="AB11" s="185">
        <f>IF($AC$5='Manuell filtrering og justering'!$J$2,Z11,(T11-AA11))</f>
        <v>1</v>
      </c>
      <c r="AD11" s="171">
        <f t="shared" si="4"/>
        <v>6.1904761904761907E-3</v>
      </c>
      <c r="AE11" s="171">
        <f>IF(AB11=0,0,(AD11/AB11)*AI11)</f>
        <v>0</v>
      </c>
      <c r="AF11" s="171">
        <f>IF(AB11=0,0,(AD11/AB11)*AJ11)</f>
        <v>0</v>
      </c>
      <c r="AG11" s="171">
        <f>IF(AB11=0,0,(AD11/AB11)*AK11)</f>
        <v>0</v>
      </c>
      <c r="AI11" s="172">
        <f>IF(VLOOKUP(E11,'Pre-Assessment Estimator'!$E$11:$Z$225,'Pre-Assessment Estimator'!$G$2,FALSE)&gt;AB11,AB11,VLOOKUP(E11,'Pre-Assessment Estimator'!$E$11:$Z$225,'Pre-Assessment Estimator'!$G$2,FALSE))</f>
        <v>0</v>
      </c>
      <c r="AJ11" s="172">
        <f>IF(VLOOKUP(E11,'Pre-Assessment Estimator'!$E$11:$Z$225,'Pre-Assessment Estimator'!$N$2,FALSE)&gt;AB11,AB11,VLOOKUP(E11,'Pre-Assessment Estimator'!$E$11:$Z$225,'Pre-Assessment Estimator'!$N$2,FALSE))</f>
        <v>0</v>
      </c>
      <c r="AK11" s="172">
        <f>IF(VLOOKUP(E11,'Pre-Assessment Estimator'!$E$11:$Z$225,'Pre-Assessment Estimator'!$U$2,FALSE)&gt;AB11,AB11,VLOOKUP(E11,'Pre-Assessment Estimator'!$E$11:$Z$225,'Pre-Assessment Estimator'!$U$2,FALSE))</f>
        <v>0</v>
      </c>
      <c r="AM11" s="826"/>
      <c r="AN11" s="827"/>
      <c r="AO11" s="827"/>
      <c r="AP11" s="181">
        <v>1</v>
      </c>
      <c r="AQ11" s="186">
        <v>1</v>
      </c>
      <c r="AS11" s="291"/>
      <c r="AT11" s="181"/>
      <c r="AU11" s="181"/>
      <c r="AV11" s="181">
        <v>1</v>
      </c>
      <c r="AW11" s="186">
        <v>1</v>
      </c>
      <c r="AX11" s="141"/>
      <c r="AY11" s="828"/>
      <c r="AZ11" s="829"/>
      <c r="BA11" s="829"/>
      <c r="BB11" s="183">
        <f>IF($E$6=$H$9,AV11,AP11)</f>
        <v>1</v>
      </c>
      <c r="BC11" s="183">
        <f>IF($E$6=$H$9,AW11,AQ11)</f>
        <v>1</v>
      </c>
      <c r="BD11" s="182">
        <f t="shared" ref="BD11:BD15" si="12">IF(BC11=0,9,IF(AI11&gt;=BC11,5,IF(AI11&gt;=BB11,4,IF(AI11&gt;=BA11,3,IF(AI11&gt;=AZ11,2,IF(AI11&lt;AY11,0,1))))))</f>
        <v>3</v>
      </c>
      <c r="BE11" s="164" t="str">
        <f t="shared" si="6"/>
        <v>Very Good</v>
      </c>
      <c r="BF11" s="185"/>
      <c r="BG11" s="182">
        <f t="shared" ref="BG11:BG15" si="13">IF(BC11=0,9,IF(AJ11&gt;=BC11,5,IF(AJ11&gt;=BB11,4,IF(AJ11&gt;=BA11,3,IF(AJ11&gt;=AZ11,2,IF(AJ11&lt;AY11,0,1))))))</f>
        <v>3</v>
      </c>
      <c r="BH11" s="164" t="str">
        <f t="shared" si="8"/>
        <v>Very Good</v>
      </c>
      <c r="BI11" s="185"/>
      <c r="BJ11" s="182">
        <f t="shared" ref="BJ11:BJ15" si="14">IF(BC11=0,9,IF(AK11&gt;=BC11,5,IF(AK11&gt;=BB11,4,IF(AK11&gt;=BA11,3,IF(AK11&gt;=AZ11,2,IF(AK11&lt;AY11,0,1))))))</f>
        <v>3</v>
      </c>
      <c r="BK11" s="164" t="str">
        <f t="shared" si="9"/>
        <v>Very Good</v>
      </c>
      <c r="BL11" s="830"/>
      <c r="BO11" s="167"/>
      <c r="BP11" s="167"/>
      <c r="BQ11" s="167" t="str">
        <f t="shared" ref="BQ11:BQ74" si="15">IF(BO11&lt;&gt;"",BO11,IF(BP11&lt;&gt;"",BP11,""))</f>
        <v/>
      </c>
      <c r="BR11" s="167">
        <f t="shared" ref="BR11" si="16">IF(BQ11="",9,(IF(AI11&gt;=BQ11,5,0)))</f>
        <v>9</v>
      </c>
      <c r="BS11" s="167">
        <f t="shared" ref="BS11:BS30" si="17">IF(BQ11="",9,(IF(AJ11&gt;=BQ11,5,0)))</f>
        <v>9</v>
      </c>
      <c r="BT11" s="167">
        <f t="shared" ref="BT11:BT30" si="18">IF(BQ11="",9,(IF(AK11&gt;=BQ11,5,0)))</f>
        <v>9</v>
      </c>
      <c r="BW11" s="676"/>
      <c r="BX11" s="676"/>
      <c r="BY11" s="288"/>
      <c r="BZ11" s="288"/>
      <c r="CA11" s="288"/>
      <c r="CB11" s="288"/>
    </row>
    <row r="12" spans="1:90" x14ac:dyDescent="0.25">
      <c r="A12" s="96">
        <v>4</v>
      </c>
      <c r="B12" s="96" t="str">
        <f t="shared" si="10"/>
        <v>Man 01b</v>
      </c>
      <c r="C12" s="96" t="str">
        <f t="shared" ref="C12:C74" si="19">C11</f>
        <v>Man 01</v>
      </c>
      <c r="D12" s="167" t="s">
        <v>697</v>
      </c>
      <c r="E12" s="1250" t="s">
        <v>1056</v>
      </c>
      <c r="F12" s="775">
        <v>1</v>
      </c>
      <c r="G12" s="775">
        <v>1</v>
      </c>
      <c r="H12" s="775">
        <v>1</v>
      </c>
      <c r="I12" s="775">
        <v>1</v>
      </c>
      <c r="J12" s="775">
        <v>1</v>
      </c>
      <c r="K12" s="775">
        <v>1</v>
      </c>
      <c r="L12" s="775">
        <v>1</v>
      </c>
      <c r="M12" s="775">
        <v>1</v>
      </c>
      <c r="N12" s="775">
        <v>1</v>
      </c>
      <c r="O12" s="775">
        <v>1</v>
      </c>
      <c r="P12" s="775">
        <v>1</v>
      </c>
      <c r="Q12" s="775">
        <v>1</v>
      </c>
      <c r="R12" s="775">
        <v>1</v>
      </c>
      <c r="S12" s="667"/>
      <c r="T12" s="165">
        <f t="shared" si="2"/>
        <v>1</v>
      </c>
      <c r="U12" s="166"/>
      <c r="V12" s="167"/>
      <c r="W12" s="167"/>
      <c r="X12" s="168"/>
      <c r="Y12" s="169"/>
      <c r="Z12" s="1160">
        <f>VLOOKUP(B12,'Manuell filtrering og justering'!$A$7:$H$107,'Manuell filtrering og justering'!$H$1,FALSE)</f>
        <v>1</v>
      </c>
      <c r="AA12" s="1169">
        <f t="shared" si="11"/>
        <v>0</v>
      </c>
      <c r="AB12" s="185">
        <f>IF($AC$5='Manuell filtrering og justering'!$J$2,Z12,(T12-AA12))</f>
        <v>1</v>
      </c>
      <c r="AD12" s="171">
        <f t="shared" si="4"/>
        <v>6.1904761904761907E-3</v>
      </c>
      <c r="AE12" s="171">
        <f>IF(AB12=0,0,(AD12/AB12)*AI12)</f>
        <v>0</v>
      </c>
      <c r="AF12" s="171">
        <f t="shared" ref="AF12:AF33" si="20">IF(AB12=0,0,(AD12/AB12)*AJ12)</f>
        <v>0</v>
      </c>
      <c r="AG12" s="171">
        <f t="shared" ref="AG12:AG33" si="21">IF(AB12=0,0,(AD12/AB12)*AK12)</f>
        <v>0</v>
      </c>
      <c r="AI12" s="172">
        <f>IF(VLOOKUP(E12,'Pre-Assessment Estimator'!$E$11:$Z$225,'Pre-Assessment Estimator'!$G$2,FALSE)&gt;AB12,AB12,VLOOKUP(E12,'Pre-Assessment Estimator'!$E$11:$Z$225,'Pre-Assessment Estimator'!$G$2,FALSE))</f>
        <v>0</v>
      </c>
      <c r="AJ12" s="172">
        <f>IF(VLOOKUP(E12,'Pre-Assessment Estimator'!$E$11:$Z$225,'Pre-Assessment Estimator'!$N$2,FALSE)&gt;AB12,AB12,VLOOKUP(E12,'Pre-Assessment Estimator'!$E$11:$Z$225,'Pre-Assessment Estimator'!$N$2,FALSE))</f>
        <v>0</v>
      </c>
      <c r="AK12" s="172">
        <f>IF(VLOOKUP(E12,'Pre-Assessment Estimator'!$E$11:$Z$225,'Pre-Assessment Estimator'!$U$2,FALSE)&gt;AB12,AB12,VLOOKUP(E12,'Pre-Assessment Estimator'!$E$11:$Z$225,'Pre-Assessment Estimator'!$U$2,FALSE))</f>
        <v>0</v>
      </c>
      <c r="AM12" s="826"/>
      <c r="AN12" s="827"/>
      <c r="AO12" s="827"/>
      <c r="AP12" s="181">
        <v>1</v>
      </c>
      <c r="AQ12" s="186">
        <v>1</v>
      </c>
      <c r="AS12" s="291"/>
      <c r="AT12" s="181"/>
      <c r="AU12" s="181"/>
      <c r="AV12" s="181">
        <v>1</v>
      </c>
      <c r="AW12" s="186">
        <v>1</v>
      </c>
      <c r="AX12" s="141"/>
      <c r="AY12" s="828"/>
      <c r="AZ12" s="829"/>
      <c r="BA12" s="829"/>
      <c r="BB12" s="183">
        <f>IF($E$6=$H$9,AV12,AP12)</f>
        <v>1</v>
      </c>
      <c r="BC12" s="183">
        <f>IF($E$6=$H$9,AW12,AQ12)</f>
        <v>1</v>
      </c>
      <c r="BD12" s="182">
        <f t="shared" si="12"/>
        <v>3</v>
      </c>
      <c r="BE12" s="164" t="str">
        <f t="shared" si="6"/>
        <v>Very Good</v>
      </c>
      <c r="BF12" s="185"/>
      <c r="BG12" s="182">
        <f t="shared" si="13"/>
        <v>3</v>
      </c>
      <c r="BH12" s="164" t="str">
        <f t="shared" si="8"/>
        <v>Very Good</v>
      </c>
      <c r="BI12" s="185"/>
      <c r="BJ12" s="182">
        <f t="shared" si="14"/>
        <v>3</v>
      </c>
      <c r="BK12" s="164" t="str">
        <f t="shared" si="9"/>
        <v>Very Good</v>
      </c>
      <c r="BL12" s="830"/>
      <c r="BO12" s="167">
        <v>1</v>
      </c>
      <c r="BP12" s="167"/>
      <c r="BQ12" s="167">
        <f t="shared" si="15"/>
        <v>1</v>
      </c>
      <c r="BR12" s="167">
        <f>IF(BQ12="",9,(IF(AI12&gt;=BQ12,5,0)))</f>
        <v>0</v>
      </c>
      <c r="BS12" s="167">
        <f t="shared" si="17"/>
        <v>0</v>
      </c>
      <c r="BT12" s="167">
        <f t="shared" si="18"/>
        <v>0</v>
      </c>
      <c r="BW12" s="676"/>
      <c r="BX12" s="676"/>
      <c r="BY12" s="288"/>
      <c r="BZ12" s="288"/>
      <c r="CA12" s="288"/>
      <c r="CB12" s="288"/>
    </row>
    <row r="13" spans="1:90" x14ac:dyDescent="0.25">
      <c r="A13" s="96">
        <v>5</v>
      </c>
      <c r="B13" s="96" t="str">
        <f t="shared" si="10"/>
        <v>Man 01c</v>
      </c>
      <c r="C13" s="96" t="str">
        <f t="shared" si="19"/>
        <v>Man 01</v>
      </c>
      <c r="D13" s="167" t="s">
        <v>698</v>
      </c>
      <c r="E13" s="1108" t="s">
        <v>587</v>
      </c>
      <c r="F13" s="775">
        <v>1</v>
      </c>
      <c r="G13" s="775">
        <v>1</v>
      </c>
      <c r="H13" s="775">
        <v>1</v>
      </c>
      <c r="I13" s="775">
        <v>1</v>
      </c>
      <c r="J13" s="775">
        <v>1</v>
      </c>
      <c r="K13" s="775">
        <v>1</v>
      </c>
      <c r="L13" s="775">
        <v>1</v>
      </c>
      <c r="M13" s="775">
        <v>1</v>
      </c>
      <c r="N13" s="775">
        <v>1</v>
      </c>
      <c r="O13" s="775">
        <v>1</v>
      </c>
      <c r="P13" s="775">
        <v>1</v>
      </c>
      <c r="Q13" s="775">
        <v>1</v>
      </c>
      <c r="R13" s="775">
        <v>1</v>
      </c>
      <c r="S13" s="667"/>
      <c r="T13" s="165">
        <f t="shared" si="2"/>
        <v>1</v>
      </c>
      <c r="U13" s="166"/>
      <c r="V13" s="167"/>
      <c r="W13" s="167"/>
      <c r="X13" s="168"/>
      <c r="Y13" s="169"/>
      <c r="Z13" s="1160">
        <f>VLOOKUP(B13,'Manuell filtrering og justering'!$A$7:$H$107,'Manuell filtrering og justering'!$H$1,FALSE)</f>
        <v>1</v>
      </c>
      <c r="AA13" s="1169">
        <f t="shared" si="11"/>
        <v>0</v>
      </c>
      <c r="AB13" s="185">
        <f>IF($AC$5='Manuell filtrering og justering'!$J$2,Z13,(T13-AA13))</f>
        <v>1</v>
      </c>
      <c r="AD13" s="171">
        <f t="shared" si="4"/>
        <v>6.1904761904761907E-3</v>
      </c>
      <c r="AE13" s="171">
        <f>IF(AB13=0,0,(AD13/AB13)*AI13)</f>
        <v>0</v>
      </c>
      <c r="AF13" s="171">
        <f t="shared" si="20"/>
        <v>0</v>
      </c>
      <c r="AG13" s="171">
        <f t="shared" si="21"/>
        <v>0</v>
      </c>
      <c r="AI13" s="172">
        <f>IF(VLOOKUP(E13,'Pre-Assessment Estimator'!$E$11:$Z$225,'Pre-Assessment Estimator'!$G$2,FALSE)&gt;AB13,AB13,VLOOKUP(E13,'Pre-Assessment Estimator'!$E$11:$Z$225,'Pre-Assessment Estimator'!$G$2,FALSE))</f>
        <v>0</v>
      </c>
      <c r="AJ13" s="172">
        <f>IF(VLOOKUP(E13,'Pre-Assessment Estimator'!$E$11:$Z$225,'Pre-Assessment Estimator'!$N$2,FALSE)&gt;AB13,AB13,VLOOKUP(E13,'Pre-Assessment Estimator'!$E$11:$Z$225,'Pre-Assessment Estimator'!$N$2,FALSE))</f>
        <v>0</v>
      </c>
      <c r="AK13" s="172">
        <f>IF(VLOOKUP(E13,'Pre-Assessment Estimator'!$E$11:$Z$225,'Pre-Assessment Estimator'!$U$2,FALSE)&gt;AB13,AB13,VLOOKUP(E13,'Pre-Assessment Estimator'!$E$11:$Z$225,'Pre-Assessment Estimator'!$U$2,FALSE))</f>
        <v>0</v>
      </c>
      <c r="AM13" s="826"/>
      <c r="AN13" s="827"/>
      <c r="AO13" s="827"/>
      <c r="AP13" s="181"/>
      <c r="AQ13" s="186"/>
      <c r="AS13" s="291"/>
      <c r="AT13" s="181"/>
      <c r="AU13" s="181"/>
      <c r="AV13" s="181"/>
      <c r="AW13" s="186"/>
      <c r="AX13" s="141"/>
      <c r="AY13" s="828"/>
      <c r="AZ13" s="829"/>
      <c r="BA13" s="829"/>
      <c r="BB13" s="829"/>
      <c r="BC13" s="176"/>
      <c r="BD13" s="182">
        <f t="shared" si="12"/>
        <v>9</v>
      </c>
      <c r="BE13" s="164" t="str">
        <f t="shared" si="6"/>
        <v>N/A</v>
      </c>
      <c r="BF13" s="185"/>
      <c r="BG13" s="182">
        <f t="shared" si="13"/>
        <v>9</v>
      </c>
      <c r="BH13" s="164" t="str">
        <f t="shared" si="8"/>
        <v>N/A</v>
      </c>
      <c r="BI13" s="185"/>
      <c r="BJ13" s="182">
        <f t="shared" si="14"/>
        <v>9</v>
      </c>
      <c r="BK13" s="164" t="str">
        <f t="shared" si="9"/>
        <v>N/A</v>
      </c>
      <c r="BL13" s="830"/>
      <c r="BO13" s="167"/>
      <c r="BP13" s="167"/>
      <c r="BQ13" s="167" t="str">
        <f t="shared" si="15"/>
        <v/>
      </c>
      <c r="BR13" s="167">
        <f t="shared" ref="BR13:BR30" si="22">IF(BQ13="",9,(IF(AI13&gt;=BQ13,5,0)))</f>
        <v>9</v>
      </c>
      <c r="BS13" s="167">
        <f t="shared" si="17"/>
        <v>9</v>
      </c>
      <c r="BT13" s="167">
        <f t="shared" si="18"/>
        <v>9</v>
      </c>
      <c r="BW13" s="676"/>
      <c r="BX13" s="676"/>
      <c r="BY13" s="288"/>
      <c r="BZ13" s="288"/>
      <c r="CA13" s="288"/>
      <c r="CB13" s="288"/>
    </row>
    <row r="14" spans="1:90" x14ac:dyDescent="0.25">
      <c r="A14" s="96">
        <v>6</v>
      </c>
      <c r="B14" s="96" t="str">
        <f t="shared" si="10"/>
        <v>Man 01d</v>
      </c>
      <c r="C14" s="96" t="str">
        <f t="shared" si="19"/>
        <v>Man 01</v>
      </c>
      <c r="D14" s="167" t="s">
        <v>696</v>
      </c>
      <c r="E14" s="1108" t="s">
        <v>588</v>
      </c>
      <c r="F14" s="775">
        <v>1</v>
      </c>
      <c r="G14" s="775">
        <v>1</v>
      </c>
      <c r="H14" s="775">
        <v>1</v>
      </c>
      <c r="I14" s="775">
        <v>1</v>
      </c>
      <c r="J14" s="775">
        <v>1</v>
      </c>
      <c r="K14" s="775">
        <v>1</v>
      </c>
      <c r="L14" s="775">
        <v>1</v>
      </c>
      <c r="M14" s="775">
        <v>1</v>
      </c>
      <c r="N14" s="775">
        <v>1</v>
      </c>
      <c r="O14" s="775">
        <v>1</v>
      </c>
      <c r="P14" s="775">
        <v>1</v>
      </c>
      <c r="Q14" s="775">
        <v>1</v>
      </c>
      <c r="R14" s="775">
        <v>1</v>
      </c>
      <c r="S14" s="667"/>
      <c r="T14" s="165">
        <f t="shared" si="2"/>
        <v>1</v>
      </c>
      <c r="U14" s="166"/>
      <c r="V14" s="167"/>
      <c r="W14" s="167"/>
      <c r="X14" s="168"/>
      <c r="Y14" s="169"/>
      <c r="Z14" s="1160">
        <f>VLOOKUP(B14,'Manuell filtrering og justering'!$A$7:$H$107,'Manuell filtrering og justering'!$H$1,FALSE)</f>
        <v>1</v>
      </c>
      <c r="AA14" s="1169">
        <f t="shared" si="11"/>
        <v>0</v>
      </c>
      <c r="AB14" s="185">
        <f>IF($AC$5='Manuell filtrering og justering'!$J$2,Z14,(T14-AA14))</f>
        <v>1</v>
      </c>
      <c r="AD14" s="171">
        <f t="shared" si="4"/>
        <v>6.1904761904761907E-3</v>
      </c>
      <c r="AE14" s="171">
        <f>IF(AB14=0,0,(AD14/AB14)*AI14)</f>
        <v>0</v>
      </c>
      <c r="AF14" s="171">
        <f t="shared" si="20"/>
        <v>0</v>
      </c>
      <c r="AG14" s="171">
        <f t="shared" si="21"/>
        <v>0</v>
      </c>
      <c r="AI14" s="172">
        <f>IF(VLOOKUP(E14,'Pre-Assessment Estimator'!$E$11:$Z$225,'Pre-Assessment Estimator'!$G$2,FALSE)&gt;AB14,AB14,VLOOKUP(E14,'Pre-Assessment Estimator'!$E$11:$Z$225,'Pre-Assessment Estimator'!$G$2,FALSE))</f>
        <v>0</v>
      </c>
      <c r="AJ14" s="172">
        <f>IF(VLOOKUP(E14,'Pre-Assessment Estimator'!$E$11:$Z$225,'Pre-Assessment Estimator'!$N$2,FALSE)&gt;AB14,AB14,VLOOKUP(E14,'Pre-Assessment Estimator'!$E$11:$Z$225,'Pre-Assessment Estimator'!$N$2,FALSE))</f>
        <v>0</v>
      </c>
      <c r="AK14" s="172">
        <f>IF(VLOOKUP(E14,'Pre-Assessment Estimator'!$E$11:$Z$225,'Pre-Assessment Estimator'!$U$2,FALSE)&gt;AB14,AB14,VLOOKUP(E14,'Pre-Assessment Estimator'!$E$11:$Z$225,'Pre-Assessment Estimator'!$U$2,FALSE))</f>
        <v>0</v>
      </c>
      <c r="AM14" s="826"/>
      <c r="AN14" s="827"/>
      <c r="AO14" s="827"/>
      <c r="AP14" s="181"/>
      <c r="AQ14" s="186"/>
      <c r="AS14" s="291"/>
      <c r="AT14" s="181"/>
      <c r="AU14" s="181"/>
      <c r="AV14" s="181"/>
      <c r="AW14" s="186"/>
      <c r="AX14" s="141"/>
      <c r="AY14" s="828"/>
      <c r="AZ14" s="829"/>
      <c r="BA14" s="829"/>
      <c r="BB14" s="829"/>
      <c r="BC14" s="176"/>
      <c r="BD14" s="182">
        <f t="shared" si="12"/>
        <v>9</v>
      </c>
      <c r="BE14" s="164" t="str">
        <f t="shared" si="6"/>
        <v>N/A</v>
      </c>
      <c r="BF14" s="185"/>
      <c r="BG14" s="182">
        <f t="shared" si="13"/>
        <v>9</v>
      </c>
      <c r="BH14" s="164" t="str">
        <f t="shared" si="8"/>
        <v>N/A</v>
      </c>
      <c r="BI14" s="185"/>
      <c r="BJ14" s="182">
        <f t="shared" si="14"/>
        <v>9</v>
      </c>
      <c r="BK14" s="164" t="str">
        <f t="shared" si="9"/>
        <v>N/A</v>
      </c>
      <c r="BL14" s="830"/>
      <c r="BO14" s="167"/>
      <c r="BP14" s="167"/>
      <c r="BQ14" s="167" t="str">
        <f t="shared" si="15"/>
        <v/>
      </c>
      <c r="BR14" s="167">
        <f t="shared" si="22"/>
        <v>9</v>
      </c>
      <c r="BS14" s="167">
        <f t="shared" si="17"/>
        <v>9</v>
      </c>
      <c r="BT14" s="167">
        <f t="shared" si="18"/>
        <v>9</v>
      </c>
      <c r="BW14" s="676"/>
      <c r="BX14" s="676"/>
      <c r="BY14" s="288"/>
      <c r="BZ14" s="288"/>
      <c r="CA14" s="288"/>
      <c r="CB14" s="288"/>
    </row>
    <row r="15" spans="1:90" x14ac:dyDescent="0.25">
      <c r="A15" s="96">
        <v>7</v>
      </c>
      <c r="B15" s="96" t="str">
        <f t="shared" si="10"/>
        <v>Man 01e</v>
      </c>
      <c r="C15" s="96" t="str">
        <f t="shared" si="19"/>
        <v>Man 01</v>
      </c>
      <c r="D15" s="167" t="s">
        <v>695</v>
      </c>
      <c r="E15" s="1108" t="s">
        <v>589</v>
      </c>
      <c r="F15" s="775">
        <v>1</v>
      </c>
      <c r="G15" s="775">
        <v>1</v>
      </c>
      <c r="H15" s="775">
        <v>1</v>
      </c>
      <c r="I15" s="775">
        <v>1</v>
      </c>
      <c r="J15" s="775">
        <v>1</v>
      </c>
      <c r="K15" s="775">
        <v>1</v>
      </c>
      <c r="L15" s="775">
        <v>1</v>
      </c>
      <c r="M15" s="775">
        <v>1</v>
      </c>
      <c r="N15" s="775">
        <v>1</v>
      </c>
      <c r="O15" s="775">
        <v>1</v>
      </c>
      <c r="P15" s="775">
        <v>1</v>
      </c>
      <c r="Q15" s="775">
        <v>1</v>
      </c>
      <c r="R15" s="775">
        <v>1</v>
      </c>
      <c r="S15" s="667"/>
      <c r="T15" s="165">
        <f t="shared" si="2"/>
        <v>1</v>
      </c>
      <c r="U15" s="166"/>
      <c r="V15" s="167"/>
      <c r="W15" s="167"/>
      <c r="X15" s="168"/>
      <c r="Y15" s="169"/>
      <c r="Z15" s="1160">
        <f>VLOOKUP(B15,'Manuell filtrering og justering'!$A$7:$H$107,'Manuell filtrering og justering'!$H$1,FALSE)</f>
        <v>2</v>
      </c>
      <c r="AA15" s="1169">
        <f t="shared" si="11"/>
        <v>0</v>
      </c>
      <c r="AB15" s="185">
        <f>IF($AC$5='Manuell filtrering og justering'!$J$2,Z15,(T15-AA15))</f>
        <v>1</v>
      </c>
      <c r="AD15" s="171">
        <f t="shared" si="4"/>
        <v>6.1904761904761907E-3</v>
      </c>
      <c r="AE15" s="171">
        <f>IF(AB15=0,0,(AD15/AB15)*AI15)</f>
        <v>0</v>
      </c>
      <c r="AF15" s="171">
        <f t="shared" si="20"/>
        <v>0</v>
      </c>
      <c r="AG15" s="171">
        <f t="shared" si="21"/>
        <v>0</v>
      </c>
      <c r="AI15" s="172">
        <f>IF(VLOOKUP(E15,'Pre-Assessment Estimator'!$E$11:$Z$225,'Pre-Assessment Estimator'!$G$2,FALSE)&gt;AB15,AB15,VLOOKUP(E15,'Pre-Assessment Estimator'!$E$11:$Z$225,'Pre-Assessment Estimator'!$G$2,FALSE))</f>
        <v>0</v>
      </c>
      <c r="AJ15" s="172">
        <f>IF(VLOOKUP(E15,'Pre-Assessment Estimator'!$E$11:$Z$225,'Pre-Assessment Estimator'!$N$2,FALSE)&gt;AB15,AB15,VLOOKUP(E15,'Pre-Assessment Estimator'!$E$11:$Z$225,'Pre-Assessment Estimator'!$N$2,FALSE))</f>
        <v>0</v>
      </c>
      <c r="AK15" s="172">
        <f>IF(VLOOKUP(E15,'Pre-Assessment Estimator'!$E$11:$Z$225,'Pre-Assessment Estimator'!$U$2,FALSE)&gt;AB15,AB15,VLOOKUP(E15,'Pre-Assessment Estimator'!$E$11:$Z$225,'Pre-Assessment Estimator'!$U$2,FALSE))</f>
        <v>0</v>
      </c>
      <c r="AM15" s="1006"/>
      <c r="AN15" s="1007"/>
      <c r="AO15" s="1007"/>
      <c r="AP15" s="1004"/>
      <c r="AQ15" s="1002"/>
      <c r="AR15" s="137"/>
      <c r="AS15" s="1003"/>
      <c r="AT15" s="1004"/>
      <c r="AU15" s="1004"/>
      <c r="AV15" s="1004"/>
      <c r="AW15" s="1002"/>
      <c r="AX15" s="141"/>
      <c r="AY15" s="828"/>
      <c r="AZ15" s="829"/>
      <c r="BA15" s="829"/>
      <c r="BB15" s="183"/>
      <c r="BC15" s="183"/>
      <c r="BD15" s="182">
        <f t="shared" si="12"/>
        <v>9</v>
      </c>
      <c r="BE15" s="164" t="str">
        <f t="shared" si="6"/>
        <v>N/A</v>
      </c>
      <c r="BF15" s="185"/>
      <c r="BG15" s="182">
        <f t="shared" si="13"/>
        <v>9</v>
      </c>
      <c r="BH15" s="164" t="str">
        <f t="shared" si="8"/>
        <v>N/A</v>
      </c>
      <c r="BI15" s="185"/>
      <c r="BJ15" s="182">
        <f t="shared" si="14"/>
        <v>9</v>
      </c>
      <c r="BK15" s="164" t="str">
        <f t="shared" si="9"/>
        <v>N/A</v>
      </c>
      <c r="BL15" s="830"/>
      <c r="BO15" s="167"/>
      <c r="BP15" s="167"/>
      <c r="BQ15" s="167" t="str">
        <f t="shared" si="15"/>
        <v/>
      </c>
      <c r="BR15" s="167">
        <f t="shared" si="22"/>
        <v>9</v>
      </c>
      <c r="BS15" s="167">
        <f t="shared" si="17"/>
        <v>9</v>
      </c>
      <c r="BT15" s="167">
        <f t="shared" si="18"/>
        <v>9</v>
      </c>
      <c r="BW15" s="676"/>
      <c r="BX15" s="676"/>
      <c r="BY15" s="288"/>
      <c r="BZ15" s="288"/>
      <c r="CA15" s="288"/>
      <c r="CB15" s="288"/>
    </row>
    <row r="16" spans="1:90" x14ac:dyDescent="0.25">
      <c r="A16" s="96">
        <v>8</v>
      </c>
      <c r="B16" s="137" t="str">
        <f>D16</f>
        <v>Man 02</v>
      </c>
      <c r="C16" s="137" t="str">
        <f>B16</f>
        <v>Man 02</v>
      </c>
      <c r="D16" s="832" t="s">
        <v>94</v>
      </c>
      <c r="E16" s="832" t="s">
        <v>308</v>
      </c>
      <c r="F16" s="933">
        <f>SUM(F17:F18)</f>
        <v>3</v>
      </c>
      <c r="G16" s="933">
        <f t="shared" ref="G16:R16" si="23">SUM(G17:G18)</f>
        <v>3</v>
      </c>
      <c r="H16" s="933">
        <f t="shared" si="23"/>
        <v>3</v>
      </c>
      <c r="I16" s="933">
        <f t="shared" si="23"/>
        <v>3</v>
      </c>
      <c r="J16" s="933">
        <f t="shared" si="23"/>
        <v>3</v>
      </c>
      <c r="K16" s="933">
        <f t="shared" si="23"/>
        <v>3</v>
      </c>
      <c r="L16" s="933">
        <f t="shared" si="23"/>
        <v>3</v>
      </c>
      <c r="M16" s="933">
        <f t="shared" si="23"/>
        <v>3</v>
      </c>
      <c r="N16" s="933">
        <f t="shared" si="23"/>
        <v>3</v>
      </c>
      <c r="O16" s="933">
        <f t="shared" si="23"/>
        <v>3</v>
      </c>
      <c r="P16" s="933">
        <f t="shared" si="23"/>
        <v>3</v>
      </c>
      <c r="Q16" s="933">
        <f t="shared" ref="Q16" si="24">SUM(Q17:Q18)</f>
        <v>3</v>
      </c>
      <c r="R16" s="933">
        <f t="shared" si="23"/>
        <v>3</v>
      </c>
      <c r="S16" s="667"/>
      <c r="T16" s="919">
        <f t="shared" si="2"/>
        <v>3</v>
      </c>
      <c r="U16" s="166"/>
      <c r="V16" s="167"/>
      <c r="W16" s="167"/>
      <c r="X16" s="168">
        <f>'Manuell filtrering og justering'!E8</f>
        <v>0</v>
      </c>
      <c r="Y16" s="169"/>
      <c r="Z16" s="1177">
        <f t="shared" ref="Z16" si="25">SUM(Z17:Z18)</f>
        <v>3</v>
      </c>
      <c r="AA16" s="1169">
        <f t="shared" si="11"/>
        <v>0</v>
      </c>
      <c r="AB16" s="1173">
        <f t="shared" ref="AB16" si="26">SUM(AB17:AB18)</f>
        <v>3</v>
      </c>
      <c r="AD16" s="921">
        <f t="shared" si="4"/>
        <v>1.8571428571428572E-2</v>
      </c>
      <c r="AE16" s="921">
        <f>SUM(AE17:AE18)</f>
        <v>0</v>
      </c>
      <c r="AF16" s="921">
        <f>SUM(AF17:AF18)</f>
        <v>0</v>
      </c>
      <c r="AG16" s="921">
        <f>SUM(AG17:AG18)</f>
        <v>0</v>
      </c>
      <c r="AI16" s="922">
        <f t="shared" ref="AI16:AK16" si="27">SUM(AI17:AI18)</f>
        <v>0</v>
      </c>
      <c r="AJ16" s="922">
        <f t="shared" si="27"/>
        <v>0</v>
      </c>
      <c r="AK16" s="922">
        <f t="shared" si="27"/>
        <v>0</v>
      </c>
      <c r="AM16" s="1003"/>
      <c r="AN16" s="1004"/>
      <c r="AO16" s="1004"/>
      <c r="AP16" s="1004"/>
      <c r="AQ16" s="1002"/>
      <c r="AR16" s="137"/>
      <c r="AS16" s="1003"/>
      <c r="AT16" s="1004"/>
      <c r="AU16" s="1004"/>
      <c r="AV16" s="1004"/>
      <c r="AW16" s="1002"/>
      <c r="AX16" s="141"/>
      <c r="AY16" s="182"/>
      <c r="AZ16" s="183"/>
      <c r="BA16" s="183"/>
      <c r="BB16" s="183"/>
      <c r="BC16" s="184"/>
      <c r="BD16" s="182">
        <f>IF(BC16=0,9,IF(AI16&gt;=BC16,5,IF(AI16&gt;=BB16,4,IF(AI16&gt;=BA16,3,IF(AI16&gt;=AZ16,2,IF(AI16&lt;AY16,0,1))))))</f>
        <v>9</v>
      </c>
      <c r="BE16" s="164" t="str">
        <f t="shared" si="6"/>
        <v>N/A</v>
      </c>
      <c r="BF16" s="185"/>
      <c r="BG16" s="182">
        <f t="shared" si="7"/>
        <v>9</v>
      </c>
      <c r="BH16" s="164" t="str">
        <f t="shared" si="8"/>
        <v>N/A</v>
      </c>
      <c r="BI16" s="185"/>
      <c r="BJ16" s="182">
        <f t="shared" ref="BJ16:BJ164" si="28">IF(BC16=0,9,IF(AK16&gt;=BC16,5,IF(AK16&gt;=BB16,4,IF(AK16&gt;=BA16,3,IF(AK16&gt;=AZ16,2,IF(AK16&lt;AY16,0,1))))))</f>
        <v>9</v>
      </c>
      <c r="BK16" s="164" t="str">
        <f t="shared" si="9"/>
        <v>N/A</v>
      </c>
      <c r="BL16" s="185"/>
      <c r="BO16" s="167"/>
      <c r="BP16" s="167"/>
      <c r="BQ16" s="167" t="str">
        <f t="shared" si="15"/>
        <v/>
      </c>
      <c r="BR16" s="167">
        <f t="shared" si="22"/>
        <v>9</v>
      </c>
      <c r="BS16" s="167">
        <f t="shared" si="17"/>
        <v>9</v>
      </c>
      <c r="BT16" s="167">
        <f t="shared" si="18"/>
        <v>9</v>
      </c>
      <c r="BW16" s="677" t="str">
        <f>D16</f>
        <v>Man 02</v>
      </c>
      <c r="BX16" s="677" t="str">
        <f>IFERROR(VLOOKUP($E16,'Pre-Assessment Estimator'!$E$11:$AB$225,'Pre-Assessment Estimator'!AB$2,FALSE),"")</f>
        <v>No</v>
      </c>
      <c r="BY16" s="287">
        <f>IFERROR(VLOOKUP($E16,'Pre-Assessment Estimator'!$E$11:$AI$225,'Pre-Assessment Estimator'!AI$2,FALSE),"")</f>
        <v>0</v>
      </c>
      <c r="BZ16" s="287">
        <f>IFERROR(VLOOKUP($BX16,$E$292:$H$325,F$290,FALSE),"")</f>
        <v>1</v>
      </c>
      <c r="CA16" s="287">
        <f>IFERROR(VLOOKUP($BX16,$E$292:$H$325,G$290,FALSE),"")</f>
        <v>0</v>
      </c>
      <c r="CB16" s="287"/>
      <c r="CC16" s="96" t="str">
        <f>IFERROR(VLOOKUP($BX16,$E$292:$H$325,I$290,FALSE),"")</f>
        <v/>
      </c>
    </row>
    <row r="17" spans="1:81" x14ac:dyDescent="0.25">
      <c r="A17" s="96">
        <v>9</v>
      </c>
      <c r="B17" s="96" t="str">
        <f t="shared" ref="B17:B18" si="29">$D$16&amp;D17</f>
        <v>Man 02a</v>
      </c>
      <c r="C17" s="96" t="str">
        <f t="shared" si="19"/>
        <v>Man 02</v>
      </c>
      <c r="D17" s="167" t="s">
        <v>694</v>
      </c>
      <c r="E17" s="1108" t="s">
        <v>592</v>
      </c>
      <c r="F17" s="775">
        <v>2</v>
      </c>
      <c r="G17" s="775">
        <v>2</v>
      </c>
      <c r="H17" s="775">
        <v>2</v>
      </c>
      <c r="I17" s="775">
        <v>2</v>
      </c>
      <c r="J17" s="775">
        <v>2</v>
      </c>
      <c r="K17" s="775">
        <v>2</v>
      </c>
      <c r="L17" s="775">
        <v>2</v>
      </c>
      <c r="M17" s="775">
        <v>2</v>
      </c>
      <c r="N17" s="775">
        <v>2</v>
      </c>
      <c r="O17" s="775">
        <v>2</v>
      </c>
      <c r="P17" s="775">
        <v>2</v>
      </c>
      <c r="Q17" s="775">
        <v>2</v>
      </c>
      <c r="R17" s="775">
        <v>2</v>
      </c>
      <c r="S17" s="667"/>
      <c r="T17" s="165">
        <f t="shared" si="2"/>
        <v>2</v>
      </c>
      <c r="U17" s="166"/>
      <c r="V17" s="167"/>
      <c r="W17" s="167"/>
      <c r="X17" s="168"/>
      <c r="Y17" s="169"/>
      <c r="Z17" s="1160">
        <f>VLOOKUP(B17,'Manuell filtrering og justering'!$A$7:$H$107,'Manuell filtrering og justering'!$H$1,FALSE)</f>
        <v>2</v>
      </c>
      <c r="AA17" s="1169">
        <f t="shared" si="11"/>
        <v>0</v>
      </c>
      <c r="AB17" s="185">
        <f>IF($AC$5='Manuell filtrering og justering'!$J$2,Z17,(T17-AA17))</f>
        <v>2</v>
      </c>
      <c r="AD17" s="171">
        <f t="shared" si="4"/>
        <v>1.2380952380952381E-2</v>
      </c>
      <c r="AE17" s="171">
        <f>IF(AB17=0,0,(AD17/AB17)*AI17)</f>
        <v>0</v>
      </c>
      <c r="AF17" s="171">
        <f t="shared" si="20"/>
        <v>0</v>
      </c>
      <c r="AG17" s="171">
        <f t="shared" si="21"/>
        <v>0</v>
      </c>
      <c r="AI17" s="172">
        <f>IF(VLOOKUP(E17,'Pre-Assessment Estimator'!$E$11:$Z$225,'Pre-Assessment Estimator'!$G$2,FALSE)&gt;AB17,AB17,VLOOKUP(E17,'Pre-Assessment Estimator'!$E$11:$Z$225,'Pre-Assessment Estimator'!$G$2,FALSE))</f>
        <v>0</v>
      </c>
      <c r="AJ17" s="172">
        <f>IF(VLOOKUP(E17,'Pre-Assessment Estimator'!$E$11:$Z$225,'Pre-Assessment Estimator'!$N$2,FALSE)&gt;AB17,AB17,VLOOKUP(E17,'Pre-Assessment Estimator'!$E$11:$Z$225,'Pre-Assessment Estimator'!$N$2,FALSE))</f>
        <v>0</v>
      </c>
      <c r="AK17" s="172">
        <f>IF(VLOOKUP(E17,'Pre-Assessment Estimator'!$E$11:$Z$225,'Pre-Assessment Estimator'!$U$2,FALSE)&gt;AB17,AB17,VLOOKUP(E17,'Pre-Assessment Estimator'!$E$11:$Z$225,'Pre-Assessment Estimator'!$U$2,FALSE))</f>
        <v>0</v>
      </c>
      <c r="AM17" s="1003"/>
      <c r="AN17" s="1004"/>
      <c r="AO17" s="1004"/>
      <c r="AP17" s="1004"/>
      <c r="AQ17" s="1002"/>
      <c r="AR17" s="137"/>
      <c r="AS17" s="1003"/>
      <c r="AT17" s="1004"/>
      <c r="AU17" s="1004"/>
      <c r="AV17" s="1004"/>
      <c r="AW17" s="1002"/>
      <c r="AX17" s="141"/>
      <c r="AY17" s="182"/>
      <c r="AZ17" s="183"/>
      <c r="BA17" s="183"/>
      <c r="BB17" s="183"/>
      <c r="BC17" s="184"/>
      <c r="BD17" s="182">
        <f t="shared" ref="BD17:BD34" si="30">IF(BC17=0,9,IF(AI17&gt;=BC17,5,IF(AI17&gt;=BB17,4,IF(AI17&gt;=BA17,3,IF(AI17&gt;=AZ17,2,IF(AI17&lt;AY17,0,1))))))</f>
        <v>9</v>
      </c>
      <c r="BE17" s="164" t="str">
        <f t="shared" si="6"/>
        <v>N/A</v>
      </c>
      <c r="BF17" s="185"/>
      <c r="BG17" s="182">
        <f t="shared" si="7"/>
        <v>9</v>
      </c>
      <c r="BH17" s="164" t="str">
        <f t="shared" si="8"/>
        <v>N/A</v>
      </c>
      <c r="BI17" s="185"/>
      <c r="BJ17" s="182">
        <f t="shared" si="28"/>
        <v>9</v>
      </c>
      <c r="BK17" s="164" t="str">
        <f t="shared" si="9"/>
        <v>N/A</v>
      </c>
      <c r="BL17" s="185"/>
      <c r="BO17" s="167"/>
      <c r="BP17" s="167"/>
      <c r="BQ17" s="167" t="str">
        <f t="shared" si="15"/>
        <v/>
      </c>
      <c r="BR17" s="167">
        <f t="shared" si="22"/>
        <v>9</v>
      </c>
      <c r="BS17" s="167">
        <f t="shared" si="17"/>
        <v>9</v>
      </c>
      <c r="BT17" s="167">
        <f t="shared" si="18"/>
        <v>9</v>
      </c>
      <c r="BW17" s="677"/>
      <c r="BX17" s="677"/>
      <c r="BY17" s="287"/>
      <c r="BZ17" s="287"/>
      <c r="CA17" s="287"/>
      <c r="CB17" s="287"/>
    </row>
    <row r="18" spans="1:81" x14ac:dyDescent="0.25">
      <c r="A18" s="96">
        <v>10</v>
      </c>
      <c r="B18" s="96" t="str">
        <f t="shared" si="29"/>
        <v>Man 02b</v>
      </c>
      <c r="C18" s="96" t="str">
        <f t="shared" si="19"/>
        <v>Man 02</v>
      </c>
      <c r="D18" s="167" t="s">
        <v>697</v>
      </c>
      <c r="E18" s="1108" t="s">
        <v>593</v>
      </c>
      <c r="F18" s="775">
        <v>1</v>
      </c>
      <c r="G18" s="775">
        <v>1</v>
      </c>
      <c r="H18" s="775">
        <v>1</v>
      </c>
      <c r="I18" s="775">
        <v>1</v>
      </c>
      <c r="J18" s="775">
        <v>1</v>
      </c>
      <c r="K18" s="775">
        <v>1</v>
      </c>
      <c r="L18" s="775">
        <v>1</v>
      </c>
      <c r="M18" s="775">
        <v>1</v>
      </c>
      <c r="N18" s="775">
        <v>1</v>
      </c>
      <c r="O18" s="775">
        <v>1</v>
      </c>
      <c r="P18" s="775">
        <v>1</v>
      </c>
      <c r="Q18" s="775">
        <v>1</v>
      </c>
      <c r="R18" s="775">
        <v>1</v>
      </c>
      <c r="S18" s="667"/>
      <c r="T18" s="165">
        <f t="shared" si="2"/>
        <v>1</v>
      </c>
      <c r="U18" s="166"/>
      <c r="V18" s="167"/>
      <c r="W18" s="167"/>
      <c r="X18" s="168"/>
      <c r="Y18" s="169"/>
      <c r="Z18" s="1160">
        <f>VLOOKUP(B18,'Manuell filtrering og justering'!$A$7:$H$107,'Manuell filtrering og justering'!$H$1,FALSE)</f>
        <v>1</v>
      </c>
      <c r="AA18" s="1169">
        <f t="shared" si="11"/>
        <v>0</v>
      </c>
      <c r="AB18" s="185">
        <f>IF($AC$5='Manuell filtrering og justering'!$J$2,Z18,(T18-AA18))</f>
        <v>1</v>
      </c>
      <c r="AD18" s="171">
        <f t="shared" si="4"/>
        <v>6.1904761904761907E-3</v>
      </c>
      <c r="AE18" s="171">
        <f>IF(AB18=0,0,(AD18/AB18)*AI18)</f>
        <v>0</v>
      </c>
      <c r="AF18" s="171">
        <f t="shared" si="20"/>
        <v>0</v>
      </c>
      <c r="AG18" s="171">
        <f t="shared" si="21"/>
        <v>0</v>
      </c>
      <c r="AI18" s="172">
        <f>IF(VLOOKUP(E18,'Pre-Assessment Estimator'!$E$11:$Z$225,'Pre-Assessment Estimator'!$G$2,FALSE)&gt;AB18,AB18,VLOOKUP(E18,'Pre-Assessment Estimator'!$E$11:$Z$225,'Pre-Assessment Estimator'!$G$2,FALSE))</f>
        <v>0</v>
      </c>
      <c r="AJ18" s="172">
        <f>IF(VLOOKUP(E18,'Pre-Assessment Estimator'!$E$11:$Z$225,'Pre-Assessment Estimator'!$N$2,FALSE)&gt;AB18,AB18,VLOOKUP(E18,'Pre-Assessment Estimator'!$E$11:$Z$225,'Pre-Assessment Estimator'!$N$2,FALSE))</f>
        <v>0</v>
      </c>
      <c r="AK18" s="172">
        <f>IF(VLOOKUP(E18,'Pre-Assessment Estimator'!$E$11:$Z$225,'Pre-Assessment Estimator'!$U$2,FALSE)&gt;AB18,AB18,VLOOKUP(E18,'Pre-Assessment Estimator'!$E$11:$Z$225,'Pre-Assessment Estimator'!$U$2,FALSE))</f>
        <v>0</v>
      </c>
      <c r="AM18" s="1003"/>
      <c r="AN18" s="1004"/>
      <c r="AO18" s="1004"/>
      <c r="AP18" s="1004"/>
      <c r="AQ18" s="1002"/>
      <c r="AR18" s="137"/>
      <c r="AS18" s="1003"/>
      <c r="AT18" s="1004"/>
      <c r="AU18" s="1004"/>
      <c r="AV18" s="1004"/>
      <c r="AW18" s="1002"/>
      <c r="AX18" s="141"/>
      <c r="AY18" s="182"/>
      <c r="AZ18" s="183"/>
      <c r="BA18" s="183"/>
      <c r="BB18" s="183"/>
      <c r="BC18" s="184"/>
      <c r="BD18" s="182">
        <f t="shared" si="30"/>
        <v>9</v>
      </c>
      <c r="BE18" s="164" t="str">
        <f t="shared" si="6"/>
        <v>N/A</v>
      </c>
      <c r="BF18" s="185"/>
      <c r="BG18" s="182">
        <f t="shared" si="7"/>
        <v>9</v>
      </c>
      <c r="BH18" s="164" t="str">
        <f t="shared" si="8"/>
        <v>N/A</v>
      </c>
      <c r="BI18" s="185"/>
      <c r="BJ18" s="182">
        <f t="shared" si="28"/>
        <v>9</v>
      </c>
      <c r="BK18" s="164" t="str">
        <f t="shared" si="9"/>
        <v>N/A</v>
      </c>
      <c r="BL18" s="185"/>
      <c r="BO18" s="167"/>
      <c r="BP18" s="167"/>
      <c r="BQ18" s="167" t="str">
        <f t="shared" si="15"/>
        <v/>
      </c>
      <c r="BR18" s="167">
        <f t="shared" si="22"/>
        <v>9</v>
      </c>
      <c r="BS18" s="167">
        <f t="shared" si="17"/>
        <v>9</v>
      </c>
      <c r="BT18" s="167">
        <f t="shared" si="18"/>
        <v>9</v>
      </c>
      <c r="BW18" s="677"/>
      <c r="BX18" s="677"/>
      <c r="BY18" s="287"/>
      <c r="BZ18" s="287"/>
      <c r="CA18" s="287"/>
      <c r="CB18" s="287"/>
    </row>
    <row r="19" spans="1:81" x14ac:dyDescent="0.25">
      <c r="A19" s="96">
        <v>11</v>
      </c>
      <c r="B19" s="137" t="str">
        <f>D19</f>
        <v>Man 03</v>
      </c>
      <c r="C19" s="137" t="str">
        <f>B19</f>
        <v>Man 03</v>
      </c>
      <c r="D19" s="832" t="s">
        <v>95</v>
      </c>
      <c r="E19" s="832" t="s">
        <v>309</v>
      </c>
      <c r="F19" s="933">
        <f>SUM(F20:F25)</f>
        <v>7</v>
      </c>
      <c r="G19" s="933">
        <f t="shared" ref="G19:R19" si="31">SUM(G20:G25)</f>
        <v>7</v>
      </c>
      <c r="H19" s="933">
        <f t="shared" si="31"/>
        <v>7</v>
      </c>
      <c r="I19" s="933">
        <f t="shared" si="31"/>
        <v>7</v>
      </c>
      <c r="J19" s="933">
        <f t="shared" si="31"/>
        <v>7</v>
      </c>
      <c r="K19" s="933">
        <f t="shared" si="31"/>
        <v>7</v>
      </c>
      <c r="L19" s="933">
        <f t="shared" si="31"/>
        <v>7</v>
      </c>
      <c r="M19" s="933">
        <f t="shared" si="31"/>
        <v>7</v>
      </c>
      <c r="N19" s="933">
        <f t="shared" si="31"/>
        <v>7</v>
      </c>
      <c r="O19" s="933">
        <f t="shared" si="31"/>
        <v>7</v>
      </c>
      <c r="P19" s="933">
        <f t="shared" si="31"/>
        <v>7</v>
      </c>
      <c r="Q19" s="933">
        <f t="shared" ref="Q19" si="32">SUM(Q20:Q25)</f>
        <v>7</v>
      </c>
      <c r="R19" s="933">
        <f t="shared" si="31"/>
        <v>7</v>
      </c>
      <c r="T19" s="919">
        <f t="shared" si="2"/>
        <v>7</v>
      </c>
      <c r="U19" s="166"/>
      <c r="V19" s="167"/>
      <c r="W19" s="167"/>
      <c r="X19" s="168">
        <f>'Manuell filtrering og justering'!E9</f>
        <v>0</v>
      </c>
      <c r="Y19" s="169"/>
      <c r="Z19" s="1177">
        <f>SUM(Z20:Z25)</f>
        <v>7</v>
      </c>
      <c r="AA19" s="1169">
        <f t="shared" si="11"/>
        <v>0</v>
      </c>
      <c r="AB19" s="1173">
        <f>SUM(AB20:AB25)</f>
        <v>7</v>
      </c>
      <c r="AD19" s="921">
        <f t="shared" si="4"/>
        <v>4.3333333333333335E-2</v>
      </c>
      <c r="AE19" s="921">
        <f>SUM(AE20:AE25)</f>
        <v>0</v>
      </c>
      <c r="AF19" s="921">
        <f>SUM(AF20:AF25)</f>
        <v>0</v>
      </c>
      <c r="AG19" s="921">
        <f>SUM(AG20:AG25)</f>
        <v>0</v>
      </c>
      <c r="AI19" s="922">
        <f t="shared" ref="AI19:AK19" si="33">SUM(AI20:AI25)</f>
        <v>0</v>
      </c>
      <c r="AJ19" s="922">
        <f t="shared" si="33"/>
        <v>0</v>
      </c>
      <c r="AK19" s="922">
        <f t="shared" si="33"/>
        <v>0</v>
      </c>
      <c r="AM19" s="1003"/>
      <c r="AN19" s="1004"/>
      <c r="AO19" s="1004"/>
      <c r="AP19" s="1004"/>
      <c r="AQ19" s="1002"/>
      <c r="AR19" s="137"/>
      <c r="AS19" s="1003"/>
      <c r="AT19" s="1004"/>
      <c r="AU19" s="1004"/>
      <c r="AV19" s="1004"/>
      <c r="AW19" s="1002"/>
      <c r="AX19" s="141"/>
      <c r="AY19" s="182"/>
      <c r="AZ19" s="183"/>
      <c r="BA19" s="183"/>
      <c r="BB19" s="183"/>
      <c r="BC19" s="184"/>
      <c r="BD19" s="182">
        <f t="shared" si="30"/>
        <v>9</v>
      </c>
      <c r="BE19" s="164" t="str">
        <f t="shared" si="6"/>
        <v>N/A</v>
      </c>
      <c r="BF19" s="185"/>
      <c r="BG19" s="182">
        <f t="shared" si="7"/>
        <v>9</v>
      </c>
      <c r="BH19" s="164" t="str">
        <f t="shared" si="8"/>
        <v>N/A</v>
      </c>
      <c r="BI19" s="185"/>
      <c r="BJ19" s="182">
        <f t="shared" si="28"/>
        <v>9</v>
      </c>
      <c r="BK19" s="164" t="str">
        <f t="shared" si="9"/>
        <v>N/A</v>
      </c>
      <c r="BL19" s="185"/>
      <c r="BO19" s="167"/>
      <c r="BP19" s="167"/>
      <c r="BQ19" s="167" t="str">
        <f t="shared" si="15"/>
        <v/>
      </c>
      <c r="BR19" s="167">
        <f t="shared" si="22"/>
        <v>9</v>
      </c>
      <c r="BS19" s="167">
        <f t="shared" si="17"/>
        <v>9</v>
      </c>
      <c r="BT19" s="167">
        <f t="shared" si="18"/>
        <v>9</v>
      </c>
      <c r="BW19" s="677" t="str">
        <f>D19</f>
        <v>Man 03</v>
      </c>
      <c r="BX19" s="677" t="str">
        <f>IFERROR(VLOOKUP($E19,'Pre-Assessment Estimator'!$E$11:$AB$225,'Pre-Assessment Estimator'!AB$2,FALSE),"")</f>
        <v>N/A</v>
      </c>
      <c r="BY19" s="287">
        <f>IFERROR(VLOOKUP($E19,'Pre-Assessment Estimator'!$E$11:$AI$225,'Pre-Assessment Estimator'!AI$2,FALSE),"")</f>
        <v>0</v>
      </c>
      <c r="BZ19" s="287">
        <f>IFERROR(VLOOKUP($BX19,$E$292:$H$325,F$290,FALSE),"")</f>
        <v>1</v>
      </c>
      <c r="CA19" s="287">
        <f>IFERROR(VLOOKUP($BX19,$E$292:$H$325,G$290,FALSE),"")</f>
        <v>0</v>
      </c>
      <c r="CB19" s="287"/>
      <c r="CC19" s="96" t="str">
        <f>IFERROR(VLOOKUP($BX19,$E$292:$H$325,I$290,FALSE),"")</f>
        <v/>
      </c>
    </row>
    <row r="20" spans="1:81" x14ac:dyDescent="0.25">
      <c r="A20" s="96">
        <v>12</v>
      </c>
      <c r="B20" s="96" t="str">
        <f t="shared" ref="B20:B25" si="34">$D$19&amp;D20</f>
        <v>Man 03a</v>
      </c>
      <c r="C20" s="96" t="str">
        <f t="shared" si="19"/>
        <v>Man 03</v>
      </c>
      <c r="D20" s="167" t="s">
        <v>694</v>
      </c>
      <c r="E20" s="1108" t="s">
        <v>594</v>
      </c>
      <c r="F20" s="775">
        <v>1</v>
      </c>
      <c r="G20" s="775">
        <v>1</v>
      </c>
      <c r="H20" s="775">
        <v>1</v>
      </c>
      <c r="I20" s="775">
        <v>1</v>
      </c>
      <c r="J20" s="775">
        <v>1</v>
      </c>
      <c r="K20" s="775">
        <v>1</v>
      </c>
      <c r="L20" s="775">
        <v>1</v>
      </c>
      <c r="M20" s="775">
        <v>1</v>
      </c>
      <c r="N20" s="775">
        <v>1</v>
      </c>
      <c r="O20" s="775">
        <v>1</v>
      </c>
      <c r="P20" s="775">
        <v>1</v>
      </c>
      <c r="Q20" s="775">
        <v>1</v>
      </c>
      <c r="R20" s="775">
        <v>1</v>
      </c>
      <c r="T20" s="165">
        <f t="shared" si="2"/>
        <v>1</v>
      </c>
      <c r="U20" s="166"/>
      <c r="V20" s="167"/>
      <c r="W20" s="167"/>
      <c r="X20" s="168"/>
      <c r="Y20" s="169"/>
      <c r="Z20" s="1160">
        <f>VLOOKUP(B20,'Manuell filtrering og justering'!$A$7:$H$107,'Manuell filtrering og justering'!$H$1,FALSE)</f>
        <v>1</v>
      </c>
      <c r="AA20" s="1169">
        <f t="shared" si="11"/>
        <v>0</v>
      </c>
      <c r="AB20" s="185">
        <f>IF($AC$5='Manuell filtrering og justering'!$J$2,Z20,(T20-AA20))</f>
        <v>1</v>
      </c>
      <c r="AD20" s="171">
        <f t="shared" si="4"/>
        <v>6.1904761904761907E-3</v>
      </c>
      <c r="AE20" s="171">
        <f>IF(AB20=0,0,(AD20/AB20)*AI20)</f>
        <v>0</v>
      </c>
      <c r="AF20" s="171">
        <f t="shared" si="20"/>
        <v>0</v>
      </c>
      <c r="AG20" s="171">
        <f t="shared" si="21"/>
        <v>0</v>
      </c>
      <c r="AI20" s="172">
        <f>IF(VLOOKUP(E20,'Pre-Assessment Estimator'!$E$11:$Z$225,'Pre-Assessment Estimator'!$G$2,FALSE)&gt;AB20,AB20,VLOOKUP(E20,'Pre-Assessment Estimator'!$E$11:$Z$225,'Pre-Assessment Estimator'!$G$2,FALSE))</f>
        <v>0</v>
      </c>
      <c r="AJ20" s="172">
        <f>IF(VLOOKUP(E20,'Pre-Assessment Estimator'!$E$11:$Z$225,'Pre-Assessment Estimator'!$N$2,FALSE)&gt;AB20,AB20,VLOOKUP(E20,'Pre-Assessment Estimator'!$E$11:$Z$225,'Pre-Assessment Estimator'!$N$2,FALSE))</f>
        <v>0</v>
      </c>
      <c r="AK20" s="172">
        <f>IF(VLOOKUP(E20,'Pre-Assessment Estimator'!$E$11:$Z$225,'Pre-Assessment Estimator'!$U$2,FALSE)&gt;AB20,AB20,VLOOKUP(E20,'Pre-Assessment Estimator'!$E$11:$Z$225,'Pre-Assessment Estimator'!$U$2,FALSE))</f>
        <v>0</v>
      </c>
      <c r="AM20" s="1003"/>
      <c r="AN20" s="1004"/>
      <c r="AO20" s="1004"/>
      <c r="AP20" s="1004"/>
      <c r="AQ20" s="1002"/>
      <c r="AR20" s="137"/>
      <c r="AS20" s="1003"/>
      <c r="AT20" s="1004"/>
      <c r="AU20" s="1004"/>
      <c r="AV20" s="1004"/>
      <c r="AW20" s="1002"/>
      <c r="AX20" s="141"/>
      <c r="AY20" s="182"/>
      <c r="AZ20" s="183"/>
      <c r="BA20" s="183"/>
      <c r="BB20" s="183"/>
      <c r="BC20" s="184"/>
      <c r="BD20" s="182">
        <f t="shared" si="30"/>
        <v>9</v>
      </c>
      <c r="BE20" s="164" t="str">
        <f t="shared" si="6"/>
        <v>N/A</v>
      </c>
      <c r="BF20" s="185"/>
      <c r="BG20" s="182">
        <f t="shared" si="7"/>
        <v>9</v>
      </c>
      <c r="BH20" s="164" t="str">
        <f t="shared" si="8"/>
        <v>N/A</v>
      </c>
      <c r="BI20" s="185"/>
      <c r="BJ20" s="182">
        <f t="shared" si="28"/>
        <v>9</v>
      </c>
      <c r="BK20" s="164" t="str">
        <f t="shared" si="9"/>
        <v>N/A</v>
      </c>
      <c r="BL20" s="185"/>
      <c r="BO20" s="167"/>
      <c r="BP20" s="167"/>
      <c r="BQ20" s="167" t="str">
        <f t="shared" si="15"/>
        <v/>
      </c>
      <c r="BR20" s="167">
        <f t="shared" si="22"/>
        <v>9</v>
      </c>
      <c r="BS20" s="167">
        <f t="shared" si="17"/>
        <v>9</v>
      </c>
      <c r="BT20" s="167">
        <f t="shared" si="18"/>
        <v>9</v>
      </c>
      <c r="BW20" s="677"/>
      <c r="BX20" s="677"/>
      <c r="BY20" s="287"/>
      <c r="BZ20" s="287"/>
      <c r="CA20" s="287"/>
      <c r="CB20" s="287"/>
    </row>
    <row r="21" spans="1:81" x14ac:dyDescent="0.25">
      <c r="A21" s="96">
        <v>13</v>
      </c>
      <c r="B21" s="96" t="str">
        <f t="shared" si="34"/>
        <v>Man 03b</v>
      </c>
      <c r="C21" s="96" t="str">
        <f t="shared" si="19"/>
        <v>Man 03</v>
      </c>
      <c r="D21" s="167" t="s">
        <v>697</v>
      </c>
      <c r="E21" s="1108" t="s">
        <v>956</v>
      </c>
      <c r="F21" s="775">
        <v>1</v>
      </c>
      <c r="G21" s="775">
        <v>1</v>
      </c>
      <c r="H21" s="775">
        <v>1</v>
      </c>
      <c r="I21" s="775">
        <v>1</v>
      </c>
      <c r="J21" s="775">
        <v>1</v>
      </c>
      <c r="K21" s="775">
        <v>1</v>
      </c>
      <c r="L21" s="775">
        <v>1</v>
      </c>
      <c r="M21" s="775">
        <v>1</v>
      </c>
      <c r="N21" s="775">
        <v>1</v>
      </c>
      <c r="O21" s="775">
        <v>1</v>
      </c>
      <c r="P21" s="775">
        <v>1</v>
      </c>
      <c r="Q21" s="775">
        <v>1</v>
      </c>
      <c r="R21" s="775">
        <v>1</v>
      </c>
      <c r="T21" s="165">
        <f t="shared" si="2"/>
        <v>1</v>
      </c>
      <c r="U21" s="166"/>
      <c r="V21" s="167"/>
      <c r="W21" s="167"/>
      <c r="X21" s="168"/>
      <c r="Y21" s="169"/>
      <c r="Z21" s="1160">
        <f>VLOOKUP(B21,'Manuell filtrering og justering'!$A$7:$H$107,'Manuell filtrering og justering'!$H$1,FALSE)</f>
        <v>1</v>
      </c>
      <c r="AA21" s="1169">
        <f t="shared" si="11"/>
        <v>0</v>
      </c>
      <c r="AB21" s="185">
        <f>IF($AC$5='Manuell filtrering og justering'!$J$2,Z21,(T21-AA21))</f>
        <v>1</v>
      </c>
      <c r="AD21" s="171">
        <f t="shared" si="4"/>
        <v>6.1904761904761907E-3</v>
      </c>
      <c r="AE21" s="171">
        <f>IF(AB21=0,0,(AD21/AB21)*AI21)</f>
        <v>0</v>
      </c>
      <c r="AF21" s="171">
        <f t="shared" si="20"/>
        <v>0</v>
      </c>
      <c r="AG21" s="171">
        <f t="shared" si="21"/>
        <v>0</v>
      </c>
      <c r="AI21" s="172">
        <f>IF(VLOOKUP(E21,'Pre-Assessment Estimator'!$E$11:$Z$225,'Pre-Assessment Estimator'!$G$2,FALSE)&gt;AB21,AB21,VLOOKUP(E21,'Pre-Assessment Estimator'!$E$11:$Z$225,'Pre-Assessment Estimator'!$G$2,FALSE))</f>
        <v>0</v>
      </c>
      <c r="AJ21" s="172">
        <f>IF(VLOOKUP(E21,'Pre-Assessment Estimator'!$E$11:$Z$225,'Pre-Assessment Estimator'!$N$2,FALSE)&gt;AB21,AB21,VLOOKUP(E21,'Pre-Assessment Estimator'!$E$11:$Z$225,'Pre-Assessment Estimator'!$N$2,FALSE))</f>
        <v>0</v>
      </c>
      <c r="AK21" s="172">
        <f>IF(VLOOKUP(E21,'Pre-Assessment Estimator'!$E$11:$Z$225,'Pre-Assessment Estimator'!$U$2,FALSE)&gt;AB21,AB21,VLOOKUP(E21,'Pre-Assessment Estimator'!$E$11:$Z$225,'Pre-Assessment Estimator'!$U$2,FALSE))</f>
        <v>0</v>
      </c>
      <c r="AM21" s="1003"/>
      <c r="AN21" s="1004"/>
      <c r="AO21" s="1004"/>
      <c r="AP21" s="1004"/>
      <c r="AQ21" s="1002"/>
      <c r="AR21" s="137"/>
      <c r="AS21" s="1003"/>
      <c r="AT21" s="1004"/>
      <c r="AU21" s="1004"/>
      <c r="AV21" s="1004"/>
      <c r="AW21" s="1002"/>
      <c r="AX21" s="141"/>
      <c r="AY21" s="182"/>
      <c r="AZ21" s="183"/>
      <c r="BA21" s="183"/>
      <c r="BB21" s="183"/>
      <c r="BC21" s="184"/>
      <c r="BD21" s="182">
        <f t="shared" si="30"/>
        <v>9</v>
      </c>
      <c r="BE21" s="164" t="str">
        <f t="shared" si="6"/>
        <v>N/A</v>
      </c>
      <c r="BF21" s="185"/>
      <c r="BG21" s="182">
        <f t="shared" si="7"/>
        <v>9</v>
      </c>
      <c r="BH21" s="164" t="str">
        <f t="shared" si="8"/>
        <v>N/A</v>
      </c>
      <c r="BI21" s="185"/>
      <c r="BJ21" s="182">
        <f t="shared" si="28"/>
        <v>9</v>
      </c>
      <c r="BK21" s="164" t="str">
        <f t="shared" si="9"/>
        <v>N/A</v>
      </c>
      <c r="BL21" s="185"/>
      <c r="BO21" s="167"/>
      <c r="BP21" s="167"/>
      <c r="BQ21" s="167" t="str">
        <f t="shared" si="15"/>
        <v/>
      </c>
      <c r="BR21" s="167">
        <f t="shared" si="22"/>
        <v>9</v>
      </c>
      <c r="BS21" s="167">
        <f t="shared" si="17"/>
        <v>9</v>
      </c>
      <c r="BT21" s="167">
        <f t="shared" si="18"/>
        <v>9</v>
      </c>
      <c r="BW21" s="677"/>
      <c r="BX21" s="677"/>
      <c r="BY21" s="287"/>
      <c r="BZ21" s="287"/>
      <c r="CA21" s="287"/>
      <c r="CB21" s="287"/>
    </row>
    <row r="22" spans="1:81" x14ac:dyDescent="0.25">
      <c r="A22" s="96">
        <v>14</v>
      </c>
      <c r="B22" s="96" t="str">
        <f t="shared" si="34"/>
        <v>Man 03c</v>
      </c>
      <c r="C22" s="96" t="str">
        <f t="shared" si="19"/>
        <v>Man 03</v>
      </c>
      <c r="D22" s="167" t="s">
        <v>698</v>
      </c>
      <c r="E22" s="1250" t="s">
        <v>1058</v>
      </c>
      <c r="F22" s="775">
        <v>1</v>
      </c>
      <c r="G22" s="775">
        <v>1</v>
      </c>
      <c r="H22" s="775">
        <v>1</v>
      </c>
      <c r="I22" s="775">
        <v>1</v>
      </c>
      <c r="J22" s="775">
        <v>1</v>
      </c>
      <c r="K22" s="775">
        <v>1</v>
      </c>
      <c r="L22" s="775">
        <v>1</v>
      </c>
      <c r="M22" s="775">
        <v>1</v>
      </c>
      <c r="N22" s="775">
        <v>1</v>
      </c>
      <c r="O22" s="775">
        <v>1</v>
      </c>
      <c r="P22" s="775">
        <v>1</v>
      </c>
      <c r="Q22" s="775">
        <v>1</v>
      </c>
      <c r="R22" s="775">
        <v>1</v>
      </c>
      <c r="T22" s="165">
        <f t="shared" si="2"/>
        <v>1</v>
      </c>
      <c r="U22" s="166"/>
      <c r="V22" s="167"/>
      <c r="W22" s="167"/>
      <c r="X22" s="168"/>
      <c r="Y22" s="169"/>
      <c r="Z22" s="1160">
        <f>VLOOKUP(B22,'Manuell filtrering og justering'!$A$7:$H$107,'Manuell filtrering og justering'!$H$1,FALSE)</f>
        <v>1</v>
      </c>
      <c r="AA22" s="1169">
        <f t="shared" si="11"/>
        <v>0</v>
      </c>
      <c r="AB22" s="185">
        <f>IF($AC$5='Manuell filtrering og justering'!$J$2,Z22,(T22-AA22))</f>
        <v>1</v>
      </c>
      <c r="AD22" s="171">
        <f t="shared" si="4"/>
        <v>6.1904761904761907E-3</v>
      </c>
      <c r="AE22" s="171">
        <f>IF(AB22=0,0,(AD22/AB22)*AI22)</f>
        <v>0</v>
      </c>
      <c r="AF22" s="171">
        <f t="shared" si="20"/>
        <v>0</v>
      </c>
      <c r="AG22" s="171">
        <f t="shared" si="21"/>
        <v>0</v>
      </c>
      <c r="AI22" s="172">
        <f>IF(VLOOKUP(E22,'Pre-Assessment Estimator'!$E$11:$Z$225,'Pre-Assessment Estimator'!$G$2,FALSE)&gt;AB22,AB22,VLOOKUP(E22,'Pre-Assessment Estimator'!$E$11:$Z$225,'Pre-Assessment Estimator'!$G$2,FALSE))</f>
        <v>0</v>
      </c>
      <c r="AJ22" s="172">
        <f>IF(VLOOKUP(E22,'Pre-Assessment Estimator'!$E$11:$Z$225,'Pre-Assessment Estimator'!$N$2,FALSE)&gt;AB22,AB22,VLOOKUP(E22,'Pre-Assessment Estimator'!$E$11:$Z$225,'Pre-Assessment Estimator'!$N$2,FALSE))</f>
        <v>0</v>
      </c>
      <c r="AK22" s="172">
        <f>IF(VLOOKUP(E22,'Pre-Assessment Estimator'!$E$11:$Z$225,'Pre-Assessment Estimator'!$U$2,FALSE)&gt;AB22,AB22,VLOOKUP(E22,'Pre-Assessment Estimator'!$E$11:$Z$225,'Pre-Assessment Estimator'!$U$2,FALSE))</f>
        <v>0</v>
      </c>
      <c r="AM22" s="1003">
        <v>1</v>
      </c>
      <c r="AN22" s="1004">
        <v>1</v>
      </c>
      <c r="AO22" s="1004">
        <v>1</v>
      </c>
      <c r="AP22" s="1004">
        <v>1</v>
      </c>
      <c r="AQ22" s="1002">
        <v>1</v>
      </c>
      <c r="AR22" s="137"/>
      <c r="AS22" s="1003">
        <v>1</v>
      </c>
      <c r="AT22" s="1004">
        <v>1</v>
      </c>
      <c r="AU22" s="1004">
        <v>1</v>
      </c>
      <c r="AV22" s="1004">
        <v>1</v>
      </c>
      <c r="AW22" s="1002">
        <v>1</v>
      </c>
      <c r="AX22" s="141"/>
      <c r="AY22" s="183">
        <f>IF($E$6=$H$9,AS22,AM22)</f>
        <v>1</v>
      </c>
      <c r="AZ22" s="183">
        <f>IF($E$6=$H$9,AT22,AN22)</f>
        <v>1</v>
      </c>
      <c r="BA22" s="183">
        <f>IF($E$6=$H$9,AU22,AO22)</f>
        <v>1</v>
      </c>
      <c r="BB22" s="183">
        <f>IF($E$6=$H$9,AV22,AP22)</f>
        <v>1</v>
      </c>
      <c r="BC22" s="183">
        <f>IF($E$6=$H$9,AW22,AQ22)</f>
        <v>1</v>
      </c>
      <c r="BD22" s="182">
        <f t="shared" si="30"/>
        <v>0</v>
      </c>
      <c r="BE22" s="164" t="str">
        <f t="shared" si="6"/>
        <v>Unclassified</v>
      </c>
      <c r="BF22" s="185"/>
      <c r="BG22" s="182">
        <f t="shared" ref="BG22:BG34" si="35">IF(BC22=0,9,IF(AJ22&gt;=BC22,5,IF(AJ22&gt;=BB22,4,IF(AJ22&gt;=BA22,3,IF(AJ22&gt;=AZ22,2,IF(AJ22&lt;AY22,0,1))))))</f>
        <v>0</v>
      </c>
      <c r="BH22" s="164" t="str">
        <f t="shared" si="8"/>
        <v>Unclassified</v>
      </c>
      <c r="BI22" s="185"/>
      <c r="BJ22" s="182">
        <f t="shared" ref="BJ22:BJ34" si="36">IF(BC22=0,9,IF(AK22&gt;=BC22,5,IF(AK22&gt;=BB22,4,IF(AK22&gt;=BA22,3,IF(AK22&gt;=AZ22,2,IF(AK22&lt;AY22,0,1))))))</f>
        <v>0</v>
      </c>
      <c r="BK22" s="164" t="str">
        <f t="shared" si="9"/>
        <v>Unclassified</v>
      </c>
      <c r="BL22" s="185"/>
      <c r="BO22" s="167"/>
      <c r="BP22" s="167">
        <v>1</v>
      </c>
      <c r="BQ22" s="167">
        <f t="shared" si="15"/>
        <v>1</v>
      </c>
      <c r="BR22" s="167">
        <f t="shared" si="22"/>
        <v>0</v>
      </c>
      <c r="BS22" s="167">
        <f t="shared" si="17"/>
        <v>0</v>
      </c>
      <c r="BT22" s="167">
        <f t="shared" si="18"/>
        <v>0</v>
      </c>
      <c r="BW22" s="677"/>
      <c r="BX22" s="677"/>
      <c r="BY22" s="287"/>
      <c r="BZ22" s="287"/>
      <c r="CA22" s="287"/>
      <c r="CB22" s="287"/>
    </row>
    <row r="23" spans="1:81" x14ac:dyDescent="0.25">
      <c r="A23" s="96">
        <v>15</v>
      </c>
      <c r="B23" s="96" t="str">
        <f t="shared" si="34"/>
        <v>Man 03d</v>
      </c>
      <c r="C23" s="96" t="str">
        <f t="shared" si="19"/>
        <v>Man 03</v>
      </c>
      <c r="D23" s="167" t="s">
        <v>696</v>
      </c>
      <c r="E23" s="1250" t="s">
        <v>1059</v>
      </c>
      <c r="F23" s="775">
        <v>1</v>
      </c>
      <c r="G23" s="775">
        <v>1</v>
      </c>
      <c r="H23" s="775">
        <v>1</v>
      </c>
      <c r="I23" s="775">
        <v>1</v>
      </c>
      <c r="J23" s="775">
        <v>1</v>
      </c>
      <c r="K23" s="775">
        <v>1</v>
      </c>
      <c r="L23" s="775">
        <v>1</v>
      </c>
      <c r="M23" s="775">
        <v>1</v>
      </c>
      <c r="N23" s="775">
        <v>1</v>
      </c>
      <c r="O23" s="775">
        <v>1</v>
      </c>
      <c r="P23" s="775">
        <v>1</v>
      </c>
      <c r="Q23" s="775">
        <v>1</v>
      </c>
      <c r="R23" s="775">
        <v>1</v>
      </c>
      <c r="T23" s="165">
        <f t="shared" si="2"/>
        <v>1</v>
      </c>
      <c r="U23" s="166"/>
      <c r="V23" s="167"/>
      <c r="W23" s="167"/>
      <c r="X23" s="168"/>
      <c r="Y23" s="169"/>
      <c r="Z23" s="1160">
        <f>VLOOKUP(B23,'Manuell filtrering og justering'!$A$7:$H$107,'Manuell filtrering og justering'!$H$1,FALSE)</f>
        <v>1</v>
      </c>
      <c r="AA23" s="1169">
        <f t="shared" si="11"/>
        <v>0</v>
      </c>
      <c r="AB23" s="185">
        <f>IF($AC$5='Manuell filtrering og justering'!$J$2,Z23,(T23-AA23))</f>
        <v>1</v>
      </c>
      <c r="AD23" s="171">
        <f t="shared" ref="AD23:AD24" si="37">(Man_Weight/Man_Credits)*AB23</f>
        <v>6.1904761904761907E-3</v>
      </c>
      <c r="AE23" s="171">
        <f t="shared" ref="AE23:AE24" si="38">IF(AB23=0,0,(AD23/AB23)*AI23)</f>
        <v>0</v>
      </c>
      <c r="AF23" s="171">
        <f t="shared" ref="AF23:AF24" si="39">IF(AB23=0,0,(AD23/AB23)*AJ23)</f>
        <v>0</v>
      </c>
      <c r="AG23" s="171">
        <f t="shared" ref="AG23:AG24" si="40">IF(AB23=0,0,(AD23/AB23)*AK23)</f>
        <v>0</v>
      </c>
      <c r="AI23" s="172">
        <f>IF(VLOOKUP(E23,'Pre-Assessment Estimator'!$E$11:$Z$225,'Pre-Assessment Estimator'!$G$2,FALSE)&gt;AB23,AB23,VLOOKUP(E23,'Pre-Assessment Estimator'!$E$11:$Z$225,'Pre-Assessment Estimator'!$G$2,FALSE))</f>
        <v>0</v>
      </c>
      <c r="AJ23" s="172">
        <f>IF(VLOOKUP(E23,'Pre-Assessment Estimator'!$E$11:$Z$225,'Pre-Assessment Estimator'!$N$2,FALSE)&gt;AB23,AB23,VLOOKUP(E23,'Pre-Assessment Estimator'!$E$11:$Z$225,'Pre-Assessment Estimator'!$N$2,FALSE))</f>
        <v>0</v>
      </c>
      <c r="AK23" s="172">
        <f>IF(VLOOKUP(E23,'Pre-Assessment Estimator'!$E$11:$Z$225,'Pre-Assessment Estimator'!$U$2,FALSE)&gt;AB23,AB23,VLOOKUP(E23,'Pre-Assessment Estimator'!$E$11:$Z$225,'Pre-Assessment Estimator'!$U$2,FALSE))</f>
        <v>0</v>
      </c>
      <c r="AM23" s="1003"/>
      <c r="AN23" s="1004"/>
      <c r="AO23" s="1004">
        <v>1</v>
      </c>
      <c r="AP23" s="1004">
        <v>1</v>
      </c>
      <c r="AQ23" s="1002">
        <v>1</v>
      </c>
      <c r="AR23" s="137"/>
      <c r="AS23" s="1003"/>
      <c r="AT23" s="1004"/>
      <c r="AU23" s="1004">
        <v>1</v>
      </c>
      <c r="AV23" s="1004">
        <v>1</v>
      </c>
      <c r="AW23" s="1002">
        <v>1</v>
      </c>
      <c r="AX23" s="141"/>
      <c r="AY23" s="1019"/>
      <c r="AZ23" s="183"/>
      <c r="BA23" s="183">
        <f>IF($E$6=$H$9,AU23,AO23)</f>
        <v>1</v>
      </c>
      <c r="BB23" s="183">
        <f>IF($E$6=$H$9,AV23,AP23)</f>
        <v>1</v>
      </c>
      <c r="BC23" s="183">
        <f>IF($E$6=$H$9,AW23,AQ23)</f>
        <v>1</v>
      </c>
      <c r="BD23" s="182">
        <f t="shared" ref="BD23" si="41">IF(BC23=0,9,IF(AI23&gt;=BC23,5,IF(AI23&gt;=BB23,4,IF(AI23&gt;=BA23,3,IF(AI23&gt;=AZ23,2,IF(AI23&lt;AY23,0,1))))))</f>
        <v>2</v>
      </c>
      <c r="BE23" s="164" t="str">
        <f t="shared" si="6"/>
        <v>Good</v>
      </c>
      <c r="BF23" s="185"/>
      <c r="BG23" s="182">
        <f t="shared" ref="BG23" si="42">IF(BC23=0,9,IF(AJ23&gt;=BC23,5,IF(AJ23&gt;=BB23,4,IF(AJ23&gt;=BA23,3,IF(AJ23&gt;=AZ23,2,IF(AJ23&lt;AY23,0,1))))))</f>
        <v>2</v>
      </c>
      <c r="BH23" s="164" t="str">
        <f t="shared" si="8"/>
        <v>Good</v>
      </c>
      <c r="BI23" s="185"/>
      <c r="BJ23" s="182">
        <f t="shared" ref="BJ23" si="43">IF(BC23=0,9,IF(AK23&gt;=BC23,5,IF(AK23&gt;=BB23,4,IF(AK23&gt;=BA23,3,IF(AK23&gt;=AZ23,2,IF(AK23&lt;AY23,0,1))))))</f>
        <v>2</v>
      </c>
      <c r="BK23" s="164" t="str">
        <f t="shared" si="9"/>
        <v>Good</v>
      </c>
      <c r="BL23" s="185"/>
      <c r="BO23" s="167"/>
      <c r="BP23" s="167">
        <v>1</v>
      </c>
      <c r="BQ23" s="167">
        <f t="shared" si="15"/>
        <v>1</v>
      </c>
      <c r="BR23" s="167">
        <f t="shared" si="22"/>
        <v>0</v>
      </c>
      <c r="BS23" s="167">
        <f t="shared" si="17"/>
        <v>0</v>
      </c>
      <c r="BT23" s="167">
        <f t="shared" si="18"/>
        <v>0</v>
      </c>
      <c r="BW23" s="677"/>
      <c r="BX23" s="677"/>
      <c r="BY23" s="287"/>
      <c r="BZ23" s="287"/>
      <c r="CA23" s="287"/>
      <c r="CB23" s="287"/>
    </row>
    <row r="24" spans="1:81" x14ac:dyDescent="0.25">
      <c r="A24" s="96">
        <v>16</v>
      </c>
      <c r="B24" s="96" t="str">
        <f t="shared" si="34"/>
        <v>Man 03e</v>
      </c>
      <c r="C24" s="96" t="str">
        <f t="shared" si="19"/>
        <v>Man 03</v>
      </c>
      <c r="D24" s="167" t="s">
        <v>695</v>
      </c>
      <c r="E24" s="1108" t="s">
        <v>1000</v>
      </c>
      <c r="F24" s="775">
        <v>1</v>
      </c>
      <c r="G24" s="775">
        <v>1</v>
      </c>
      <c r="H24" s="775">
        <v>1</v>
      </c>
      <c r="I24" s="775">
        <v>1</v>
      </c>
      <c r="J24" s="775">
        <v>1</v>
      </c>
      <c r="K24" s="775">
        <v>1</v>
      </c>
      <c r="L24" s="775">
        <v>1</v>
      </c>
      <c r="M24" s="775">
        <v>1</v>
      </c>
      <c r="N24" s="775">
        <v>1</v>
      </c>
      <c r="O24" s="775">
        <v>1</v>
      </c>
      <c r="P24" s="775">
        <v>1</v>
      </c>
      <c r="Q24" s="775">
        <v>1</v>
      </c>
      <c r="R24" s="775">
        <v>1</v>
      </c>
      <c r="T24" s="165">
        <f t="shared" si="2"/>
        <v>1</v>
      </c>
      <c r="U24" s="166"/>
      <c r="V24" s="167"/>
      <c r="W24" s="167"/>
      <c r="X24" s="168"/>
      <c r="Y24" s="169"/>
      <c r="Z24" s="1160">
        <f>VLOOKUP(B24,'Manuell filtrering og justering'!$A$7:$H$107,'Manuell filtrering og justering'!$H$1,FALSE)</f>
        <v>1</v>
      </c>
      <c r="AA24" s="1169">
        <f t="shared" si="11"/>
        <v>0</v>
      </c>
      <c r="AB24" s="185">
        <f>IF($AC$5='Manuell filtrering og justering'!$J$2,Z24,(T24-AA24))</f>
        <v>1</v>
      </c>
      <c r="AD24" s="171">
        <f t="shared" si="37"/>
        <v>6.1904761904761907E-3</v>
      </c>
      <c r="AE24" s="171">
        <f t="shared" si="38"/>
        <v>0</v>
      </c>
      <c r="AF24" s="171">
        <f t="shared" si="39"/>
        <v>0</v>
      </c>
      <c r="AG24" s="171">
        <f t="shared" si="40"/>
        <v>0</v>
      </c>
      <c r="AI24" s="172">
        <f>IF(VLOOKUP(E24,'Pre-Assessment Estimator'!$E$11:$Z$225,'Pre-Assessment Estimator'!$G$2,FALSE)&gt;AB24,AB24,VLOOKUP(E24,'Pre-Assessment Estimator'!$E$11:$Z$225,'Pre-Assessment Estimator'!$G$2,FALSE))</f>
        <v>0</v>
      </c>
      <c r="AJ24" s="172">
        <f>IF(VLOOKUP(E24,'Pre-Assessment Estimator'!$E$11:$Z$225,'Pre-Assessment Estimator'!$N$2,FALSE)&gt;AB24,AB24,VLOOKUP(E24,'Pre-Assessment Estimator'!$E$11:$Z$225,'Pre-Assessment Estimator'!$N$2,FALSE))</f>
        <v>0</v>
      </c>
      <c r="AK24" s="172">
        <f>IF(VLOOKUP(E24,'Pre-Assessment Estimator'!$E$11:$Z$225,'Pre-Assessment Estimator'!$U$2,FALSE)&gt;AB24,AB24,VLOOKUP(E24,'Pre-Assessment Estimator'!$E$11:$Z$225,'Pre-Assessment Estimator'!$U$2,FALSE))</f>
        <v>0</v>
      </c>
      <c r="AM24" s="1003"/>
      <c r="AN24" s="1004"/>
      <c r="AO24" s="1004"/>
      <c r="AP24" s="1004"/>
      <c r="AQ24" s="1002"/>
      <c r="AR24" s="137"/>
      <c r="AS24" s="1003"/>
      <c r="AT24" s="1004"/>
      <c r="AU24" s="1004"/>
      <c r="AV24" s="1004"/>
      <c r="AW24" s="1002"/>
      <c r="AX24" s="141"/>
      <c r="AY24" s="1019"/>
      <c r="AZ24" s="183"/>
      <c r="BA24" s="183"/>
      <c r="BB24" s="183"/>
      <c r="BC24" s="183"/>
      <c r="BD24" s="1005">
        <f>BD25</f>
        <v>3</v>
      </c>
      <c r="BE24" s="164" t="str">
        <f t="shared" si="6"/>
        <v>Very Good</v>
      </c>
      <c r="BF24" s="185"/>
      <c r="BG24" s="1005">
        <f>BG25</f>
        <v>3</v>
      </c>
      <c r="BH24" s="164" t="str">
        <f t="shared" si="8"/>
        <v>Very Good</v>
      </c>
      <c r="BI24" s="185"/>
      <c r="BJ24" s="1005">
        <f>BJ25</f>
        <v>3</v>
      </c>
      <c r="BK24" s="164" t="str">
        <f t="shared" si="9"/>
        <v>Very Good</v>
      </c>
      <c r="BL24" s="185"/>
      <c r="BO24" s="167"/>
      <c r="BP24" s="167"/>
      <c r="BQ24" s="167" t="str">
        <f t="shared" si="15"/>
        <v/>
      </c>
      <c r="BR24" s="167">
        <f t="shared" si="22"/>
        <v>9</v>
      </c>
      <c r="BS24" s="167">
        <f t="shared" si="17"/>
        <v>9</v>
      </c>
      <c r="BT24" s="167">
        <f t="shared" si="18"/>
        <v>9</v>
      </c>
      <c r="BW24" s="677"/>
      <c r="BX24" s="677"/>
      <c r="BY24" s="287"/>
      <c r="BZ24" s="287"/>
      <c r="CA24" s="287"/>
      <c r="CB24" s="287"/>
    </row>
    <row r="25" spans="1:81" x14ac:dyDescent="0.25">
      <c r="A25" s="96">
        <v>17</v>
      </c>
      <c r="B25" s="96" t="str">
        <f t="shared" si="34"/>
        <v>Man 03f</v>
      </c>
      <c r="C25" s="96" t="str">
        <f t="shared" si="19"/>
        <v>Man 03</v>
      </c>
      <c r="D25" s="167" t="s">
        <v>910</v>
      </c>
      <c r="E25" s="1108" t="s">
        <v>1001</v>
      </c>
      <c r="F25" s="775">
        <v>2</v>
      </c>
      <c r="G25" s="775">
        <v>2</v>
      </c>
      <c r="H25" s="775">
        <v>2</v>
      </c>
      <c r="I25" s="775">
        <v>2</v>
      </c>
      <c r="J25" s="775">
        <v>2</v>
      </c>
      <c r="K25" s="775">
        <v>2</v>
      </c>
      <c r="L25" s="775">
        <v>2</v>
      </c>
      <c r="M25" s="775">
        <v>2</v>
      </c>
      <c r="N25" s="775">
        <v>2</v>
      </c>
      <c r="O25" s="775">
        <v>2</v>
      </c>
      <c r="P25" s="775">
        <v>2</v>
      </c>
      <c r="Q25" s="775">
        <v>2</v>
      </c>
      <c r="R25" s="775">
        <v>2</v>
      </c>
      <c r="T25" s="165">
        <f t="shared" si="2"/>
        <v>2</v>
      </c>
      <c r="U25" s="166"/>
      <c r="V25" s="167"/>
      <c r="W25" s="167"/>
      <c r="X25" s="168"/>
      <c r="Y25" s="169"/>
      <c r="Z25" s="1160">
        <f>VLOOKUP(B25,'Manuell filtrering og justering'!$A$7:$H$107,'Manuell filtrering og justering'!$H$1,FALSE)</f>
        <v>2</v>
      </c>
      <c r="AA25" s="1169">
        <f t="shared" si="11"/>
        <v>0</v>
      </c>
      <c r="AB25" s="185">
        <f>IF($AC$5='Manuell filtrering og justering'!$J$2,Z25,(T25-AA25))</f>
        <v>2</v>
      </c>
      <c r="AD25" s="171">
        <f t="shared" si="4"/>
        <v>1.2380952380952381E-2</v>
      </c>
      <c r="AE25" s="171">
        <f>IF(AB25=0,0,(AD25/AB25)*AI25)</f>
        <v>0</v>
      </c>
      <c r="AF25" s="171">
        <f t="shared" si="20"/>
        <v>0</v>
      </c>
      <c r="AG25" s="171">
        <f t="shared" si="21"/>
        <v>0</v>
      </c>
      <c r="AI25" s="172">
        <f>IF(VLOOKUP(E25,'Pre-Assessment Estimator'!$E$11:$Z$225,'Pre-Assessment Estimator'!$G$2,FALSE)&gt;AB25,AB25,VLOOKUP(E25,'Pre-Assessment Estimator'!$E$11:$Z$225,'Pre-Assessment Estimator'!$G$2,FALSE))</f>
        <v>0</v>
      </c>
      <c r="AJ25" s="172">
        <f>IF(VLOOKUP(E25,'Pre-Assessment Estimator'!$E$11:$Z$225,'Pre-Assessment Estimator'!$N$2,FALSE)&gt;AB25,AB25,VLOOKUP(E25,'Pre-Assessment Estimator'!$E$11:$Z$225,'Pre-Assessment Estimator'!$N$2,FALSE))</f>
        <v>0</v>
      </c>
      <c r="AK25" s="172">
        <f>IF(VLOOKUP(E25,'Pre-Assessment Estimator'!$E$11:$Z$225,'Pre-Assessment Estimator'!$U$2,FALSE)&gt;AB25,AB25,VLOOKUP(E25,'Pre-Assessment Estimator'!$E$11:$Z$225,'Pre-Assessment Estimator'!$U$2,FALSE))</f>
        <v>0</v>
      </c>
      <c r="AM25" s="1003"/>
      <c r="AN25" s="1004"/>
      <c r="AO25" s="1004"/>
      <c r="AP25" s="1020">
        <v>3</v>
      </c>
      <c r="AQ25" s="1021">
        <v>3</v>
      </c>
      <c r="AR25" s="137"/>
      <c r="AS25" s="1003"/>
      <c r="AT25" s="1004"/>
      <c r="AU25" s="1004"/>
      <c r="AV25" s="1020">
        <v>3</v>
      </c>
      <c r="AW25" s="1021">
        <v>3</v>
      </c>
      <c r="AX25" s="141"/>
      <c r="AY25" s="182"/>
      <c r="AZ25" s="183"/>
      <c r="BA25" s="183"/>
      <c r="BB25" s="183">
        <f>IF($E$6=$H$9,AV25,AP25)</f>
        <v>3</v>
      </c>
      <c r="BC25" s="183">
        <f>IF($E$6=$H$9,AW25,AQ25)</f>
        <v>3</v>
      </c>
      <c r="BD25" s="1005">
        <f>IF(BC25=0,9,IF((AI25+AI24)&gt;=BC25,5,IF((AI25+AI24)&gt;=BB25,4,IF((AI25+AI24)&gt;=BA25,3,IF((AI25+AI24)&gt;=AZ25,2,IF((AI25+AI24)&lt;AY25,0,1))))))</f>
        <v>3</v>
      </c>
      <c r="BE25" s="164" t="str">
        <f t="shared" si="6"/>
        <v>Very Good</v>
      </c>
      <c r="BF25" s="185"/>
      <c r="BG25" s="1005">
        <f>IF(BC25=0,9,IF((AJ25+AJ24)&gt;=BC25,5,IF((AJ25+AJ24)&gt;=BB25,4,IF((AJ25+AJ24)&gt;=BA25,3,IF((AJ25+AJ24)&gt;=AZ25,2,IF((AJ25+AJ24)&lt;AY25,0,1))))))</f>
        <v>3</v>
      </c>
      <c r="BH25" s="164" t="str">
        <f t="shared" si="8"/>
        <v>Very Good</v>
      </c>
      <c r="BI25" s="185"/>
      <c r="BJ25" s="1005">
        <f>IF(BC25=0,9,IF((AK25+AK24)&gt;=BC25,5,IF((AK25+AK24)&gt;=BB25,4,IF((AK25+AK24)&gt;=BA25,3,IF((AK25+AK24)&gt;=AZ25,2,IF((AK25+AK24)&lt;AY25,0,1))))))</f>
        <v>3</v>
      </c>
      <c r="BK25" s="164" t="str">
        <f t="shared" si="9"/>
        <v>Very Good</v>
      </c>
      <c r="BL25" s="185"/>
      <c r="BO25" s="167"/>
      <c r="BP25" s="167"/>
      <c r="BQ25" s="167" t="str">
        <f t="shared" si="15"/>
        <v/>
      </c>
      <c r="BR25" s="167">
        <f t="shared" si="22"/>
        <v>9</v>
      </c>
      <c r="BS25" s="167">
        <f t="shared" si="17"/>
        <v>9</v>
      </c>
      <c r="BT25" s="167">
        <f t="shared" si="18"/>
        <v>9</v>
      </c>
      <c r="BW25" s="677"/>
      <c r="BX25" s="677"/>
      <c r="BY25" s="287"/>
      <c r="BZ25" s="287"/>
      <c r="CA25" s="287"/>
      <c r="CB25" s="287"/>
    </row>
    <row r="26" spans="1:81" x14ac:dyDescent="0.25">
      <c r="A26" s="96">
        <v>18</v>
      </c>
      <c r="B26" s="137" t="str">
        <f>D26</f>
        <v>Man 04</v>
      </c>
      <c r="C26" s="137" t="str">
        <f>B26</f>
        <v>Man 04</v>
      </c>
      <c r="D26" s="832" t="s">
        <v>96</v>
      </c>
      <c r="E26" s="832" t="s">
        <v>397</v>
      </c>
      <c r="F26" s="933">
        <f>SUM(F27:F29)</f>
        <v>3</v>
      </c>
      <c r="G26" s="933">
        <f t="shared" ref="G26:R26" si="44">SUM(G27:G29)</f>
        <v>3</v>
      </c>
      <c r="H26" s="933">
        <f t="shared" si="44"/>
        <v>3</v>
      </c>
      <c r="I26" s="933">
        <f t="shared" si="44"/>
        <v>3</v>
      </c>
      <c r="J26" s="933">
        <f t="shared" si="44"/>
        <v>3</v>
      </c>
      <c r="K26" s="933">
        <f t="shared" si="44"/>
        <v>3</v>
      </c>
      <c r="L26" s="933">
        <f t="shared" si="44"/>
        <v>3</v>
      </c>
      <c r="M26" s="933">
        <f t="shared" si="44"/>
        <v>3</v>
      </c>
      <c r="N26" s="933">
        <f t="shared" si="44"/>
        <v>3</v>
      </c>
      <c r="O26" s="933">
        <f t="shared" si="44"/>
        <v>3</v>
      </c>
      <c r="P26" s="933">
        <f t="shared" si="44"/>
        <v>3</v>
      </c>
      <c r="Q26" s="933">
        <f t="shared" ref="Q26" si="45">SUM(Q27:Q29)</f>
        <v>3</v>
      </c>
      <c r="R26" s="933">
        <f t="shared" si="44"/>
        <v>3</v>
      </c>
      <c r="T26" s="919">
        <f t="shared" si="2"/>
        <v>3</v>
      </c>
      <c r="U26" s="166"/>
      <c r="V26" s="167"/>
      <c r="W26" s="167"/>
      <c r="X26" s="168">
        <f>'Manuell filtrering og justering'!E10</f>
        <v>0</v>
      </c>
      <c r="Y26" s="169"/>
      <c r="Z26" s="1177">
        <f t="shared" ref="Z26" si="46">SUM(Z27:Z29)</f>
        <v>3</v>
      </c>
      <c r="AA26" s="1169">
        <f t="shared" si="11"/>
        <v>0</v>
      </c>
      <c r="AB26" s="1173">
        <f>SUM(AB27:AB29)</f>
        <v>3</v>
      </c>
      <c r="AD26" s="921">
        <f t="shared" si="4"/>
        <v>1.8571428571428572E-2</v>
      </c>
      <c r="AE26" s="921">
        <f>SUM(AE27:AE29)</f>
        <v>0</v>
      </c>
      <c r="AF26" s="921">
        <f>SUM(AF27:AF29)</f>
        <v>0</v>
      </c>
      <c r="AG26" s="921">
        <f>SUM(AG27:AG29)</f>
        <v>0</v>
      </c>
      <c r="AI26" s="922">
        <f t="shared" ref="AI26:AK26" si="47">SUM(AI27:AI29)</f>
        <v>0</v>
      </c>
      <c r="AJ26" s="922">
        <f t="shared" si="47"/>
        <v>0</v>
      </c>
      <c r="AK26" s="922">
        <f t="shared" si="47"/>
        <v>0</v>
      </c>
      <c r="AM26" s="291"/>
      <c r="AN26" s="181"/>
      <c r="AO26" s="181"/>
      <c r="AP26" s="181"/>
      <c r="AQ26" s="186"/>
      <c r="AS26" s="291"/>
      <c r="AT26" s="181"/>
      <c r="AU26" s="181"/>
      <c r="AV26" s="181"/>
      <c r="AW26" s="186"/>
      <c r="AX26" s="141"/>
      <c r="AY26" s="182"/>
      <c r="AZ26" s="183"/>
      <c r="BA26" s="183"/>
      <c r="BB26" s="183"/>
      <c r="BC26" s="187"/>
      <c r="BD26" s="182">
        <f t="shared" si="30"/>
        <v>9</v>
      </c>
      <c r="BE26" s="164" t="str">
        <f t="shared" si="6"/>
        <v>N/A</v>
      </c>
      <c r="BF26" s="185"/>
      <c r="BG26" s="182">
        <f t="shared" si="35"/>
        <v>9</v>
      </c>
      <c r="BH26" s="164" t="str">
        <f t="shared" si="8"/>
        <v>N/A</v>
      </c>
      <c r="BI26" s="185"/>
      <c r="BJ26" s="182">
        <f t="shared" si="36"/>
        <v>9</v>
      </c>
      <c r="BK26" s="164" t="str">
        <f t="shared" si="9"/>
        <v>N/A</v>
      </c>
      <c r="BL26" s="185"/>
      <c r="BO26" s="167"/>
      <c r="BP26" s="167"/>
      <c r="BQ26" s="167" t="str">
        <f t="shared" si="15"/>
        <v/>
      </c>
      <c r="BR26" s="167">
        <f t="shared" si="22"/>
        <v>9</v>
      </c>
      <c r="BS26" s="167">
        <f t="shared" si="17"/>
        <v>9</v>
      </c>
      <c r="BT26" s="167">
        <f t="shared" si="18"/>
        <v>9</v>
      </c>
      <c r="BW26" s="677" t="str">
        <f>D26</f>
        <v>Man 04</v>
      </c>
      <c r="BX26" s="677" t="str">
        <f>IFERROR(VLOOKUP($E26,'Pre-Assessment Estimator'!$E$11:$AB$225,'Pre-Assessment Estimator'!AB$2,FALSE),"")</f>
        <v>No</v>
      </c>
      <c r="BY26" s="287">
        <f>IFERROR(VLOOKUP($E26,'Pre-Assessment Estimator'!$E$11:$AI$225,'Pre-Assessment Estimator'!AI$2,FALSE),"")</f>
        <v>0</v>
      </c>
      <c r="BZ26" s="287">
        <f>IFERROR(VLOOKUP($BX26,$E$292:$H$325,F$290,FALSE),"")</f>
        <v>1</v>
      </c>
      <c r="CA26" s="287">
        <f>IFERROR(VLOOKUP($BX26,$E$292:$H$325,G$290,FALSE),"")</f>
        <v>0</v>
      </c>
      <c r="CB26" s="287"/>
      <c r="CC26" s="96" t="str">
        <f>IFERROR(VLOOKUP($BX26,$E$292:$H$325,I$290,FALSE),"")</f>
        <v/>
      </c>
    </row>
    <row r="27" spans="1:81" x14ac:dyDescent="0.25">
      <c r="A27" s="96">
        <v>19</v>
      </c>
      <c r="B27" s="96" t="str">
        <f t="shared" ref="B27:B29" si="48">$D$26&amp;D27</f>
        <v>Man 04a</v>
      </c>
      <c r="C27" s="96" t="str">
        <f t="shared" si="19"/>
        <v>Man 04</v>
      </c>
      <c r="D27" s="167" t="s">
        <v>694</v>
      </c>
      <c r="E27" s="1108" t="s">
        <v>598</v>
      </c>
      <c r="F27" s="775">
        <v>1</v>
      </c>
      <c r="G27" s="775">
        <v>1</v>
      </c>
      <c r="H27" s="775">
        <v>1</v>
      </c>
      <c r="I27" s="775">
        <v>1</v>
      </c>
      <c r="J27" s="775">
        <v>1</v>
      </c>
      <c r="K27" s="775">
        <v>1</v>
      </c>
      <c r="L27" s="775">
        <v>1</v>
      </c>
      <c r="M27" s="775">
        <v>1</v>
      </c>
      <c r="N27" s="775">
        <v>1</v>
      </c>
      <c r="O27" s="775">
        <v>1</v>
      </c>
      <c r="P27" s="775">
        <v>1</v>
      </c>
      <c r="Q27" s="775">
        <v>1</v>
      </c>
      <c r="R27" s="775">
        <v>1</v>
      </c>
      <c r="T27" s="165">
        <f t="shared" si="2"/>
        <v>1</v>
      </c>
      <c r="U27" s="166"/>
      <c r="V27" s="167"/>
      <c r="W27" s="167"/>
      <c r="X27" s="168"/>
      <c r="Y27" s="169"/>
      <c r="Z27" s="1160">
        <f>VLOOKUP(B27,'Manuell filtrering og justering'!$A$7:$H$107,'Manuell filtrering og justering'!$H$1,FALSE)</f>
        <v>1</v>
      </c>
      <c r="AA27" s="1169">
        <f t="shared" si="11"/>
        <v>0</v>
      </c>
      <c r="AB27" s="185">
        <f>IF($AC$5='Manuell filtrering og justering'!$J$2,Z27,(T27-AA27))</f>
        <v>1</v>
      </c>
      <c r="AD27" s="171">
        <f t="shared" si="4"/>
        <v>6.1904761904761907E-3</v>
      </c>
      <c r="AE27" s="171">
        <f>IF(AB27=0,0,(AD27/AB27)*AI27)</f>
        <v>0</v>
      </c>
      <c r="AF27" s="171">
        <f t="shared" si="20"/>
        <v>0</v>
      </c>
      <c r="AG27" s="171">
        <f t="shared" si="21"/>
        <v>0</v>
      </c>
      <c r="AI27" s="172">
        <f>IF(VLOOKUP(E27,'Pre-Assessment Estimator'!$E$11:$Z$225,'Pre-Assessment Estimator'!$G$2,FALSE)&gt;AB27,AB27,VLOOKUP(E27,'Pre-Assessment Estimator'!$E$11:$Z$225,'Pre-Assessment Estimator'!$G$2,FALSE))</f>
        <v>0</v>
      </c>
      <c r="AJ27" s="172">
        <f>IF(VLOOKUP(E27,'Pre-Assessment Estimator'!$E$11:$Z$225,'Pre-Assessment Estimator'!$N$2,FALSE)&gt;AB27,AB27,VLOOKUP(E27,'Pre-Assessment Estimator'!$E$11:$Z$225,'Pre-Assessment Estimator'!$N$2,FALSE))</f>
        <v>0</v>
      </c>
      <c r="AK27" s="172">
        <f>IF(VLOOKUP(E27,'Pre-Assessment Estimator'!$E$11:$Z$225,'Pre-Assessment Estimator'!$U$2,FALSE)&gt;AB27,AB27,VLOOKUP(E27,'Pre-Assessment Estimator'!$E$11:$Z$225,'Pre-Assessment Estimator'!$U$2,FALSE))</f>
        <v>0</v>
      </c>
      <c r="AM27" s="291">
        <v>1</v>
      </c>
      <c r="AN27" s="181">
        <v>1</v>
      </c>
      <c r="AO27" s="181">
        <v>1</v>
      </c>
      <c r="AP27" s="181">
        <v>1</v>
      </c>
      <c r="AQ27" s="186">
        <v>1</v>
      </c>
      <c r="AS27" s="291">
        <v>1</v>
      </c>
      <c r="AT27" s="181">
        <v>1</v>
      </c>
      <c r="AU27" s="181">
        <v>1</v>
      </c>
      <c r="AV27" s="181">
        <v>1</v>
      </c>
      <c r="AW27" s="186">
        <v>1</v>
      </c>
      <c r="AX27" s="141"/>
      <c r="AY27" s="183">
        <f>IF($E$6=$H$9,AS27,AM27)</f>
        <v>1</v>
      </c>
      <c r="AZ27" s="183">
        <f>IF($E$6=$H$9,AT27,AN27)</f>
        <v>1</v>
      </c>
      <c r="BA27" s="183">
        <f>IF($E$6=$H$9,AU27,AO27)</f>
        <v>1</v>
      </c>
      <c r="BB27" s="183">
        <f>IF($E$6=$H$9,AV27,AP27)</f>
        <v>1</v>
      </c>
      <c r="BC27" s="183">
        <f>IF($E$6=$H$9,AW27,AQ27)</f>
        <v>1</v>
      </c>
      <c r="BD27" s="182">
        <f t="shared" si="30"/>
        <v>0</v>
      </c>
      <c r="BE27" s="164" t="str">
        <f t="shared" si="6"/>
        <v>Unclassified</v>
      </c>
      <c r="BF27" s="185"/>
      <c r="BG27" s="182">
        <f t="shared" si="35"/>
        <v>0</v>
      </c>
      <c r="BH27" s="164" t="str">
        <f t="shared" si="8"/>
        <v>Unclassified</v>
      </c>
      <c r="BI27" s="185"/>
      <c r="BJ27" s="182">
        <f t="shared" si="36"/>
        <v>0</v>
      </c>
      <c r="BK27" s="164" t="str">
        <f t="shared" si="9"/>
        <v>Unclassified</v>
      </c>
      <c r="BL27" s="185"/>
      <c r="BO27" s="167"/>
      <c r="BP27" s="167"/>
      <c r="BQ27" s="167" t="str">
        <f t="shared" si="15"/>
        <v/>
      </c>
      <c r="BR27" s="167">
        <f t="shared" si="22"/>
        <v>9</v>
      </c>
      <c r="BS27" s="167">
        <f t="shared" si="17"/>
        <v>9</v>
      </c>
      <c r="BT27" s="167">
        <f t="shared" si="18"/>
        <v>9</v>
      </c>
      <c r="BW27" s="677"/>
      <c r="BX27" s="677"/>
      <c r="BY27" s="287"/>
      <c r="BZ27" s="287"/>
      <c r="CA27" s="287"/>
      <c r="CB27" s="287"/>
    </row>
    <row r="28" spans="1:81" x14ac:dyDescent="0.25">
      <c r="A28" s="96">
        <v>20</v>
      </c>
      <c r="B28" s="96" t="str">
        <f t="shared" si="48"/>
        <v>Man 04b</v>
      </c>
      <c r="C28" s="96" t="str">
        <f t="shared" si="19"/>
        <v>Man 04</v>
      </c>
      <c r="D28" s="167" t="s">
        <v>697</v>
      </c>
      <c r="E28" s="1108" t="s">
        <v>599</v>
      </c>
      <c r="F28" s="775">
        <v>1</v>
      </c>
      <c r="G28" s="775">
        <v>1</v>
      </c>
      <c r="H28" s="775">
        <v>1</v>
      </c>
      <c r="I28" s="775">
        <v>1</v>
      </c>
      <c r="J28" s="775">
        <v>1</v>
      </c>
      <c r="K28" s="775">
        <v>1</v>
      </c>
      <c r="L28" s="775">
        <v>1</v>
      </c>
      <c r="M28" s="775">
        <v>1</v>
      </c>
      <c r="N28" s="775">
        <v>1</v>
      </c>
      <c r="O28" s="775">
        <v>1</v>
      </c>
      <c r="P28" s="775">
        <v>1</v>
      </c>
      <c r="Q28" s="775">
        <v>1</v>
      </c>
      <c r="R28" s="775">
        <v>1</v>
      </c>
      <c r="T28" s="165">
        <f t="shared" si="2"/>
        <v>1</v>
      </c>
      <c r="U28" s="166"/>
      <c r="V28" s="167"/>
      <c r="W28" s="167"/>
      <c r="X28" s="168"/>
      <c r="Y28" s="169">
        <f>IF($Y$4=$Y$6,T28,0)</f>
        <v>0</v>
      </c>
      <c r="Z28" s="1160">
        <f>VLOOKUP(B28,'Manuell filtrering og justering'!$A$7:$H$107,'Manuell filtrering og justering'!$H$1,FALSE)</f>
        <v>1</v>
      </c>
      <c r="AA28" s="1169">
        <f t="shared" si="11"/>
        <v>0</v>
      </c>
      <c r="AB28" s="185">
        <f>IF($AC$5='Manuell filtrering og justering'!$J$2,Z28,(T28-AA28))</f>
        <v>1</v>
      </c>
      <c r="AD28" s="171">
        <f t="shared" si="4"/>
        <v>6.1904761904761907E-3</v>
      </c>
      <c r="AE28" s="171">
        <f>IF(AB28=0,0,(AD28/AB28)*AI28)</f>
        <v>0</v>
      </c>
      <c r="AF28" s="171">
        <f t="shared" si="20"/>
        <v>0</v>
      </c>
      <c r="AG28" s="171">
        <f t="shared" si="21"/>
        <v>0</v>
      </c>
      <c r="AI28" s="172">
        <f>IF(VLOOKUP(E28,'Pre-Assessment Estimator'!$E$11:$Z$225,'Pre-Assessment Estimator'!$G$2,FALSE)&gt;AB28,AB28,VLOOKUP(E28,'Pre-Assessment Estimator'!$E$11:$Z$225,'Pre-Assessment Estimator'!$G$2,FALSE))</f>
        <v>0</v>
      </c>
      <c r="AJ28" s="172">
        <f>IF(VLOOKUP(E28,'Pre-Assessment Estimator'!$E$11:$Z$225,'Pre-Assessment Estimator'!$N$2,FALSE)&gt;AB28,AB28,VLOOKUP(E28,'Pre-Assessment Estimator'!$E$11:$Z$225,'Pre-Assessment Estimator'!$N$2,FALSE))</f>
        <v>0</v>
      </c>
      <c r="AK28" s="172">
        <f>IF(VLOOKUP(E28,'Pre-Assessment Estimator'!$E$11:$Z$225,'Pre-Assessment Estimator'!$U$2,FALSE)&gt;AB28,AB28,VLOOKUP(E28,'Pre-Assessment Estimator'!$E$11:$Z$225,'Pre-Assessment Estimator'!$U$2,FALSE))</f>
        <v>0</v>
      </c>
      <c r="AM28" s="291"/>
      <c r="AN28" s="181"/>
      <c r="AO28" s="181"/>
      <c r="AP28" s="181"/>
      <c r="AQ28" s="186"/>
      <c r="AS28" s="291"/>
      <c r="AT28" s="181"/>
      <c r="AU28" s="181"/>
      <c r="AV28" s="181"/>
      <c r="AW28" s="186"/>
      <c r="AX28" s="141"/>
      <c r="AY28" s="182"/>
      <c r="AZ28" s="183"/>
      <c r="BA28" s="183"/>
      <c r="BB28" s="183"/>
      <c r="BC28" s="187"/>
      <c r="BD28" s="182">
        <f t="shared" si="30"/>
        <v>9</v>
      </c>
      <c r="BE28" s="164" t="str">
        <f t="shared" si="6"/>
        <v>N/A</v>
      </c>
      <c r="BF28" s="185"/>
      <c r="BG28" s="182">
        <f t="shared" si="35"/>
        <v>9</v>
      </c>
      <c r="BH28" s="164" t="str">
        <f t="shared" si="8"/>
        <v>N/A</v>
      </c>
      <c r="BI28" s="185"/>
      <c r="BJ28" s="182">
        <f t="shared" si="36"/>
        <v>9</v>
      </c>
      <c r="BK28" s="164" t="str">
        <f t="shared" si="9"/>
        <v>N/A</v>
      </c>
      <c r="BL28" s="185"/>
      <c r="BO28" s="167"/>
      <c r="BP28" s="167"/>
      <c r="BQ28" s="167" t="str">
        <f t="shared" si="15"/>
        <v/>
      </c>
      <c r="BR28" s="167">
        <f t="shared" si="22"/>
        <v>9</v>
      </c>
      <c r="BS28" s="167">
        <f t="shared" si="17"/>
        <v>9</v>
      </c>
      <c r="BT28" s="167">
        <f t="shared" si="18"/>
        <v>9</v>
      </c>
      <c r="BW28" s="677"/>
      <c r="BX28" s="677"/>
      <c r="BY28" s="287"/>
      <c r="BZ28" s="287"/>
      <c r="CA28" s="287"/>
      <c r="CB28" s="287"/>
    </row>
    <row r="29" spans="1:81" x14ac:dyDescent="0.25">
      <c r="A29" s="96">
        <v>21</v>
      </c>
      <c r="B29" s="96" t="str">
        <f t="shared" si="48"/>
        <v>Man 04c</v>
      </c>
      <c r="C29" s="96" t="str">
        <f t="shared" si="19"/>
        <v>Man 04</v>
      </c>
      <c r="D29" s="167" t="s">
        <v>698</v>
      </c>
      <c r="E29" s="1108" t="s">
        <v>600</v>
      </c>
      <c r="F29" s="775">
        <v>1</v>
      </c>
      <c r="G29" s="775">
        <v>1</v>
      </c>
      <c r="H29" s="775">
        <v>1</v>
      </c>
      <c r="I29" s="775">
        <v>1</v>
      </c>
      <c r="J29" s="775">
        <v>1</v>
      </c>
      <c r="K29" s="775">
        <v>1</v>
      </c>
      <c r="L29" s="775">
        <v>1</v>
      </c>
      <c r="M29" s="775">
        <v>1</v>
      </c>
      <c r="N29" s="775">
        <v>1</v>
      </c>
      <c r="O29" s="775">
        <v>1</v>
      </c>
      <c r="P29" s="775">
        <v>1</v>
      </c>
      <c r="Q29" s="775">
        <v>1</v>
      </c>
      <c r="R29" s="775">
        <v>1</v>
      </c>
      <c r="T29" s="165">
        <f t="shared" si="2"/>
        <v>1</v>
      </c>
      <c r="U29" s="166"/>
      <c r="V29" s="167"/>
      <c r="W29" s="167"/>
      <c r="X29" s="168"/>
      <c r="Y29" s="169"/>
      <c r="Z29" s="1160">
        <f>VLOOKUP(B29,'Manuell filtrering og justering'!$A$7:$H$107,'Manuell filtrering og justering'!$H$1,FALSE)</f>
        <v>1</v>
      </c>
      <c r="AA29" s="1169">
        <f t="shared" si="11"/>
        <v>0</v>
      </c>
      <c r="AB29" s="185">
        <f>IF($AC$5='Manuell filtrering og justering'!$J$2,Z29,(T29-AA29))</f>
        <v>1</v>
      </c>
      <c r="AD29" s="171">
        <f t="shared" si="4"/>
        <v>6.1904761904761907E-3</v>
      </c>
      <c r="AE29" s="171">
        <f>IF(AB29=0,0,(AD29/AB29)*AI29)</f>
        <v>0</v>
      </c>
      <c r="AF29" s="171">
        <f t="shared" si="20"/>
        <v>0</v>
      </c>
      <c r="AG29" s="171">
        <f t="shared" si="21"/>
        <v>0</v>
      </c>
      <c r="AI29" s="172">
        <f>IF(VLOOKUP(E29,'Pre-Assessment Estimator'!$E$11:$Z$225,'Pre-Assessment Estimator'!$G$2,FALSE)&gt;AB29,AB29,VLOOKUP(E29,'Pre-Assessment Estimator'!$E$11:$Z$225,'Pre-Assessment Estimator'!$G$2,FALSE))</f>
        <v>0</v>
      </c>
      <c r="AJ29" s="172">
        <f>IF(VLOOKUP(E29,'Pre-Assessment Estimator'!$E$11:$Z$225,'Pre-Assessment Estimator'!$N$2,FALSE)&gt;AB29,AB29,VLOOKUP(E29,'Pre-Assessment Estimator'!$E$11:$Z$225,'Pre-Assessment Estimator'!$N$2,FALSE))</f>
        <v>0</v>
      </c>
      <c r="AK29" s="172">
        <f>IF(VLOOKUP(E29,'Pre-Assessment Estimator'!$E$11:$Z$225,'Pre-Assessment Estimator'!$U$2,FALSE)&gt;AB29,AB29,VLOOKUP(E29,'Pre-Assessment Estimator'!$E$11:$Z$225,'Pre-Assessment Estimator'!$U$2,FALSE))</f>
        <v>0</v>
      </c>
      <c r="AM29" s="291"/>
      <c r="AN29" s="181"/>
      <c r="AO29" s="181">
        <v>1</v>
      </c>
      <c r="AP29" s="181">
        <v>1</v>
      </c>
      <c r="AQ29" s="186">
        <v>1</v>
      </c>
      <c r="AS29" s="291"/>
      <c r="AT29" s="181"/>
      <c r="AU29" s="181">
        <v>1</v>
      </c>
      <c r="AV29" s="181">
        <v>1</v>
      </c>
      <c r="AW29" s="186">
        <v>1</v>
      </c>
      <c r="AX29" s="141"/>
      <c r="AY29" s="182"/>
      <c r="AZ29" s="183"/>
      <c r="BA29" s="183">
        <f>IF($E$6=$H$9,AU29,AO29)</f>
        <v>1</v>
      </c>
      <c r="BB29" s="183">
        <f>IF($E$6=$H$9,AV29,AP29)</f>
        <v>1</v>
      </c>
      <c r="BC29" s="183">
        <f>IF($E$6=$H$9,AW29,AQ29)</f>
        <v>1</v>
      </c>
      <c r="BD29" s="182">
        <f t="shared" si="30"/>
        <v>2</v>
      </c>
      <c r="BE29" s="164" t="str">
        <f t="shared" si="6"/>
        <v>Good</v>
      </c>
      <c r="BF29" s="185"/>
      <c r="BG29" s="182">
        <f t="shared" si="35"/>
        <v>2</v>
      </c>
      <c r="BH29" s="164" t="str">
        <f t="shared" si="8"/>
        <v>Good</v>
      </c>
      <c r="BI29" s="185"/>
      <c r="BJ29" s="182">
        <f t="shared" si="36"/>
        <v>2</v>
      </c>
      <c r="BK29" s="164" t="str">
        <f t="shared" si="9"/>
        <v>Good</v>
      </c>
      <c r="BL29" s="185"/>
      <c r="BO29" s="167"/>
      <c r="BP29" s="167"/>
      <c r="BQ29" s="167" t="str">
        <f t="shared" si="15"/>
        <v/>
      </c>
      <c r="BR29" s="167">
        <f t="shared" si="22"/>
        <v>9</v>
      </c>
      <c r="BS29" s="167">
        <f t="shared" si="17"/>
        <v>9</v>
      </c>
      <c r="BT29" s="167">
        <f t="shared" si="18"/>
        <v>9</v>
      </c>
      <c r="BW29" s="677"/>
      <c r="BX29" s="677"/>
      <c r="BY29" s="287"/>
      <c r="BZ29" s="287"/>
      <c r="CA29" s="287"/>
      <c r="CB29" s="287"/>
    </row>
    <row r="30" spans="1:81" x14ac:dyDescent="0.25">
      <c r="A30" s="96">
        <v>22</v>
      </c>
      <c r="B30" s="137" t="str">
        <f>D30</f>
        <v>Man 05</v>
      </c>
      <c r="C30" s="137" t="str">
        <f>B30</f>
        <v>Man 05</v>
      </c>
      <c r="D30" s="832" t="s">
        <v>97</v>
      </c>
      <c r="E30" s="832" t="s">
        <v>310</v>
      </c>
      <c r="F30" s="933">
        <f>SUM(F31:F33)</f>
        <v>3</v>
      </c>
      <c r="G30" s="933">
        <f t="shared" ref="G30:R30" si="49">SUM(G31:G33)</f>
        <v>3</v>
      </c>
      <c r="H30" s="933">
        <f t="shared" si="49"/>
        <v>3</v>
      </c>
      <c r="I30" s="933">
        <f t="shared" si="49"/>
        <v>3</v>
      </c>
      <c r="J30" s="933">
        <f t="shared" si="49"/>
        <v>3</v>
      </c>
      <c r="K30" s="933">
        <f t="shared" si="49"/>
        <v>3</v>
      </c>
      <c r="L30" s="933">
        <f t="shared" si="49"/>
        <v>3</v>
      </c>
      <c r="M30" s="933">
        <f t="shared" si="49"/>
        <v>3</v>
      </c>
      <c r="N30" s="933">
        <f t="shared" si="49"/>
        <v>3</v>
      </c>
      <c r="O30" s="933">
        <f t="shared" si="49"/>
        <v>3</v>
      </c>
      <c r="P30" s="933">
        <f t="shared" si="49"/>
        <v>3</v>
      </c>
      <c r="Q30" s="933">
        <f t="shared" ref="Q30" si="50">SUM(Q31:Q33)</f>
        <v>3</v>
      </c>
      <c r="R30" s="933">
        <f t="shared" si="49"/>
        <v>3</v>
      </c>
      <c r="T30" s="919">
        <f t="shared" si="2"/>
        <v>3</v>
      </c>
      <c r="U30" s="166"/>
      <c r="V30" s="167"/>
      <c r="W30" s="167"/>
      <c r="X30" s="168">
        <f>'Manuell filtrering og justering'!E11</f>
        <v>0</v>
      </c>
      <c r="Y30" s="169"/>
      <c r="Z30" s="1177">
        <f t="shared" ref="Z30" si="51">SUM(Z31:Z33)</f>
        <v>3</v>
      </c>
      <c r="AA30" s="1169">
        <f t="shared" si="11"/>
        <v>0</v>
      </c>
      <c r="AB30" s="1173">
        <f>SUM(AB31:AB33)</f>
        <v>3</v>
      </c>
      <c r="AD30" s="921">
        <f t="shared" si="4"/>
        <v>1.8571428571428572E-2</v>
      </c>
      <c r="AE30" s="921">
        <f>SUM(AE31:AE33)</f>
        <v>0</v>
      </c>
      <c r="AF30" s="921">
        <f t="shared" ref="AF30:AG30" si="52">SUM(AF31:AF33)</f>
        <v>0</v>
      </c>
      <c r="AG30" s="921">
        <f t="shared" si="52"/>
        <v>0</v>
      </c>
      <c r="AI30" s="922">
        <f t="shared" ref="AI30:AK30" si="53">SUM(AI31:AI33)</f>
        <v>0</v>
      </c>
      <c r="AJ30" s="922">
        <f t="shared" si="53"/>
        <v>0</v>
      </c>
      <c r="AK30" s="922">
        <f t="shared" si="53"/>
        <v>0</v>
      </c>
      <c r="AM30" s="305"/>
      <c r="AN30" s="306"/>
      <c r="AO30" s="306"/>
      <c r="AP30" s="306"/>
      <c r="AQ30" s="307"/>
      <c r="AS30" s="305"/>
      <c r="AT30" s="306"/>
      <c r="AU30" s="306"/>
      <c r="AV30" s="306"/>
      <c r="AW30" s="307"/>
      <c r="AY30" s="188"/>
      <c r="AZ30" s="189"/>
      <c r="BA30" s="189"/>
      <c r="BB30" s="189"/>
      <c r="BC30" s="190"/>
      <c r="BD30" s="182">
        <f t="shared" si="30"/>
        <v>9</v>
      </c>
      <c r="BE30" s="164" t="str">
        <f t="shared" si="6"/>
        <v>N/A</v>
      </c>
      <c r="BF30" s="185"/>
      <c r="BG30" s="182">
        <f t="shared" si="35"/>
        <v>9</v>
      </c>
      <c r="BH30" s="164" t="str">
        <f t="shared" si="8"/>
        <v>N/A</v>
      </c>
      <c r="BI30" s="185"/>
      <c r="BJ30" s="182">
        <f t="shared" si="36"/>
        <v>9</v>
      </c>
      <c r="BK30" s="164" t="str">
        <f t="shared" si="9"/>
        <v>N/A</v>
      </c>
      <c r="BL30" s="185"/>
      <c r="BO30" s="167"/>
      <c r="BP30" s="167"/>
      <c r="BQ30" s="167" t="str">
        <f t="shared" si="15"/>
        <v/>
      </c>
      <c r="BR30" s="167">
        <f t="shared" si="22"/>
        <v>9</v>
      </c>
      <c r="BS30" s="167">
        <f t="shared" si="17"/>
        <v>9</v>
      </c>
      <c r="BT30" s="167">
        <f t="shared" si="18"/>
        <v>9</v>
      </c>
      <c r="BW30" s="677" t="str">
        <f>D30</f>
        <v>Man 05</v>
      </c>
      <c r="BX30" s="677" t="str">
        <f>IFERROR(VLOOKUP($E30,'Pre-Assessment Estimator'!$E$11:$AB$225,'Pre-Assessment Estimator'!AB$2,FALSE),"")</f>
        <v>No</v>
      </c>
      <c r="BY30" s="287">
        <f>IFERROR(VLOOKUP($E30,'Pre-Assessment Estimator'!$E$11:$AI$225,'Pre-Assessment Estimator'!AI$2,FALSE),"")</f>
        <v>0</v>
      </c>
      <c r="BZ30" s="287">
        <f>IFERROR(VLOOKUP($BX30,$E$292:$H$325,F$290,FALSE),"")</f>
        <v>1</v>
      </c>
      <c r="CA30" s="287">
        <f>IFERROR(VLOOKUP($BX30,$E$292:$H$325,G$290,FALSE),"")</f>
        <v>0</v>
      </c>
      <c r="CB30" s="287"/>
      <c r="CC30" s="96" t="s">
        <v>431</v>
      </c>
    </row>
    <row r="31" spans="1:81" x14ac:dyDescent="0.25">
      <c r="A31" s="96">
        <v>23</v>
      </c>
      <c r="B31" s="96" t="str">
        <f t="shared" ref="B31:B33" si="54">$D$30&amp;D31</f>
        <v>Man 05a</v>
      </c>
      <c r="C31" s="96" t="str">
        <f t="shared" si="19"/>
        <v>Man 05</v>
      </c>
      <c r="D31" s="167" t="s">
        <v>694</v>
      </c>
      <c r="E31" s="1108" t="s">
        <v>601</v>
      </c>
      <c r="F31" s="775">
        <v>1</v>
      </c>
      <c r="G31" s="775">
        <v>1</v>
      </c>
      <c r="H31" s="775">
        <v>1</v>
      </c>
      <c r="I31" s="775">
        <v>1</v>
      </c>
      <c r="J31" s="775">
        <v>1</v>
      </c>
      <c r="K31" s="775">
        <v>1</v>
      </c>
      <c r="L31" s="775">
        <v>1</v>
      </c>
      <c r="M31" s="775">
        <v>1</v>
      </c>
      <c r="N31" s="775">
        <v>1</v>
      </c>
      <c r="O31" s="775">
        <v>1</v>
      </c>
      <c r="P31" s="775">
        <v>1</v>
      </c>
      <c r="Q31" s="775">
        <v>1</v>
      </c>
      <c r="R31" s="775">
        <v>1</v>
      </c>
      <c r="T31" s="165">
        <f t="shared" si="2"/>
        <v>1</v>
      </c>
      <c r="U31" s="166"/>
      <c r="V31" s="167"/>
      <c r="W31" s="167"/>
      <c r="X31" s="168"/>
      <c r="Y31" s="169">
        <f>IF(OR($Y$4=$Y$5,$Y$4=$Y$6),T31,0)</f>
        <v>0</v>
      </c>
      <c r="Z31" s="1160">
        <f>VLOOKUP(B31,'Manuell filtrering og justering'!$A$7:$H$107,'Manuell filtrering og justering'!$H$1,FALSE)</f>
        <v>1</v>
      </c>
      <c r="AA31" s="1169">
        <f t="shared" si="11"/>
        <v>0</v>
      </c>
      <c r="AB31" s="185">
        <f>IF($AC$5='Manuell filtrering og justering'!$J$2,Z31,(T31-AA31))</f>
        <v>1</v>
      </c>
      <c r="AD31" s="171">
        <f t="shared" si="4"/>
        <v>6.1904761904761907E-3</v>
      </c>
      <c r="AE31" s="171">
        <f>IF(AB31=0,0,(AD31/AB31)*AI31)</f>
        <v>0</v>
      </c>
      <c r="AF31" s="171">
        <f t="shared" si="20"/>
        <v>0</v>
      </c>
      <c r="AG31" s="171">
        <f t="shared" si="21"/>
        <v>0</v>
      </c>
      <c r="AI31" s="172">
        <f>IF(VLOOKUP(E31,'Pre-Assessment Estimator'!$E$11:$Z$225,'Pre-Assessment Estimator'!$G$2,FALSE)&gt;AB31,AB31,VLOOKUP(E31,'Pre-Assessment Estimator'!$E$11:$Z$225,'Pre-Assessment Estimator'!$G$2,FALSE))</f>
        <v>0</v>
      </c>
      <c r="AJ31" s="172">
        <f>IF(VLOOKUP(E31,'Pre-Assessment Estimator'!$E$11:$Z$225,'Pre-Assessment Estimator'!$N$2,FALSE)&gt;AB31,AB31,VLOOKUP(E31,'Pre-Assessment Estimator'!$E$11:$Z$225,'Pre-Assessment Estimator'!$N$2,FALSE))</f>
        <v>0</v>
      </c>
      <c r="AK31" s="172">
        <f>IF(VLOOKUP(E31,'Pre-Assessment Estimator'!$E$11:$Z$225,'Pre-Assessment Estimator'!$U$2,FALSE)&gt;AB31,AB31,VLOOKUP(E31,'Pre-Assessment Estimator'!$E$11:$Z$225,'Pre-Assessment Estimator'!$U$2,FALSE))</f>
        <v>0</v>
      </c>
      <c r="AM31" s="305"/>
      <c r="AN31" s="306"/>
      <c r="AO31" s="306"/>
      <c r="AP31" s="306"/>
      <c r="AQ31" s="307"/>
      <c r="AS31" s="305"/>
      <c r="AT31" s="306"/>
      <c r="AU31" s="306"/>
      <c r="AV31" s="306"/>
      <c r="AW31" s="307"/>
      <c r="AY31" s="188"/>
      <c r="AZ31" s="189"/>
      <c r="BA31" s="189"/>
      <c r="BB31" s="189"/>
      <c r="BC31" s="190"/>
      <c r="BD31" s="182">
        <f t="shared" si="30"/>
        <v>9</v>
      </c>
      <c r="BE31" s="164" t="str">
        <f t="shared" si="6"/>
        <v>N/A</v>
      </c>
      <c r="BF31" s="185"/>
      <c r="BG31" s="182">
        <f t="shared" si="35"/>
        <v>9</v>
      </c>
      <c r="BH31" s="164" t="str">
        <f t="shared" si="8"/>
        <v>N/A</v>
      </c>
      <c r="BI31" s="185"/>
      <c r="BJ31" s="182">
        <f t="shared" si="36"/>
        <v>9</v>
      </c>
      <c r="BK31" s="164" t="str">
        <f t="shared" si="9"/>
        <v>N/A</v>
      </c>
      <c r="BL31" s="185"/>
      <c r="BO31" s="167"/>
      <c r="BP31" s="167"/>
      <c r="BQ31" s="167" t="str">
        <f t="shared" si="15"/>
        <v/>
      </c>
      <c r="BR31" s="167">
        <f t="shared" ref="BR31:BR94" si="55">IF(BQ31="",9,(IF(AI31&gt;=BQ31,5,0)))</f>
        <v>9</v>
      </c>
      <c r="BS31" s="167">
        <f t="shared" ref="BS31:BS94" si="56">IF(BQ31="",9,(IF(AJ31&gt;=BQ31,5,0)))</f>
        <v>9</v>
      </c>
      <c r="BT31" s="167">
        <f t="shared" ref="BT31:BT94" si="57">IF(BQ31="",9,(IF(AK31&gt;=BQ31,5,0)))</f>
        <v>9</v>
      </c>
      <c r="BW31" s="677"/>
      <c r="BX31" s="677"/>
      <c r="BY31" s="287"/>
      <c r="BZ31" s="287"/>
      <c r="CA31" s="287"/>
      <c r="CB31" s="287"/>
    </row>
    <row r="32" spans="1:81" x14ac:dyDescent="0.25">
      <c r="A32" s="96">
        <v>24</v>
      </c>
      <c r="B32" s="96" t="str">
        <f t="shared" si="54"/>
        <v>Man 05b</v>
      </c>
      <c r="C32" s="96" t="str">
        <f t="shared" si="19"/>
        <v>Man 05</v>
      </c>
      <c r="D32" s="167" t="s">
        <v>697</v>
      </c>
      <c r="E32" s="1108" t="s">
        <v>602</v>
      </c>
      <c r="F32" s="775">
        <v>1</v>
      </c>
      <c r="G32" s="775">
        <v>1</v>
      </c>
      <c r="H32" s="775">
        <v>1</v>
      </c>
      <c r="I32" s="775">
        <v>1</v>
      </c>
      <c r="J32" s="775">
        <v>1</v>
      </c>
      <c r="K32" s="775">
        <v>1</v>
      </c>
      <c r="L32" s="775">
        <v>1</v>
      </c>
      <c r="M32" s="775">
        <v>1</v>
      </c>
      <c r="N32" s="775">
        <v>1</v>
      </c>
      <c r="O32" s="775">
        <v>1</v>
      </c>
      <c r="P32" s="775">
        <v>1</v>
      </c>
      <c r="Q32" s="775">
        <v>1</v>
      </c>
      <c r="R32" s="775">
        <v>1</v>
      </c>
      <c r="T32" s="165">
        <f t="shared" si="2"/>
        <v>1</v>
      </c>
      <c r="U32" s="166"/>
      <c r="V32" s="167"/>
      <c r="W32" s="167"/>
      <c r="X32" s="168"/>
      <c r="Y32" s="169">
        <f>IF(OR($Y$4=$Y$5,$Y$4=$Y$6),T32,0)</f>
        <v>0</v>
      </c>
      <c r="Z32" s="1160">
        <f>VLOOKUP(B32,'Manuell filtrering og justering'!$A$7:$H$107,'Manuell filtrering og justering'!$H$1,FALSE)</f>
        <v>1</v>
      </c>
      <c r="AA32" s="1169">
        <f t="shared" si="11"/>
        <v>0</v>
      </c>
      <c r="AB32" s="185">
        <f>IF($AC$5='Manuell filtrering og justering'!$J$2,Z32,(T32-AA32))</f>
        <v>1</v>
      </c>
      <c r="AD32" s="171">
        <f t="shared" si="4"/>
        <v>6.1904761904761907E-3</v>
      </c>
      <c r="AE32" s="171">
        <f>IF(AB32=0,0,(AD32/AB32)*AI32)</f>
        <v>0</v>
      </c>
      <c r="AF32" s="171">
        <f t="shared" si="20"/>
        <v>0</v>
      </c>
      <c r="AG32" s="171">
        <f t="shared" si="21"/>
        <v>0</v>
      </c>
      <c r="AI32" s="172">
        <f>IF(VLOOKUP(E32,'Pre-Assessment Estimator'!$E$11:$Z$225,'Pre-Assessment Estimator'!$G$2,FALSE)&gt;AB32,AB32,VLOOKUP(E32,'Pre-Assessment Estimator'!$E$11:$Z$225,'Pre-Assessment Estimator'!$G$2,FALSE))</f>
        <v>0</v>
      </c>
      <c r="AJ32" s="172">
        <f>IF(VLOOKUP(E32,'Pre-Assessment Estimator'!$E$11:$Z$225,'Pre-Assessment Estimator'!$N$2,FALSE)&gt;AB32,AB32,VLOOKUP(E32,'Pre-Assessment Estimator'!$E$11:$Z$225,'Pre-Assessment Estimator'!$N$2,FALSE))</f>
        <v>0</v>
      </c>
      <c r="AK32" s="172">
        <f>IF(VLOOKUP(E32,'Pre-Assessment Estimator'!$E$11:$Z$225,'Pre-Assessment Estimator'!$U$2,FALSE)&gt;AB32,AB32,VLOOKUP(E32,'Pre-Assessment Estimator'!$E$11:$Z$225,'Pre-Assessment Estimator'!$U$2,FALSE))</f>
        <v>0</v>
      </c>
      <c r="AM32" s="305"/>
      <c r="AN32" s="306"/>
      <c r="AO32" s="306"/>
      <c r="AP32" s="1191">
        <f>IF(AND($Y$4&lt;&gt;$Y$3,Y32&gt;0),0,1)</f>
        <v>1</v>
      </c>
      <c r="AQ32" s="1192">
        <f>IF(AND($Y$4&lt;&gt;$Y$3,Y32&gt;0),0,1)</f>
        <v>1</v>
      </c>
      <c r="AR32" s="130"/>
      <c r="AS32" s="1010"/>
      <c r="AT32" s="1008"/>
      <c r="AU32" s="1008"/>
      <c r="AV32" s="1008"/>
      <c r="AW32" s="1009"/>
      <c r="AY32" s="188"/>
      <c r="AZ32" s="189"/>
      <c r="BA32" s="189"/>
      <c r="BB32" s="183">
        <f>IF($E$6=$H$9,AV32,AP32)</f>
        <v>1</v>
      </c>
      <c r="BC32" s="183">
        <f>IF($E$6=$H$9,AW32,AQ32)</f>
        <v>1</v>
      </c>
      <c r="BD32" s="182">
        <f t="shared" si="30"/>
        <v>3</v>
      </c>
      <c r="BE32" s="164" t="str">
        <f t="shared" si="6"/>
        <v>Very Good</v>
      </c>
      <c r="BF32" s="185"/>
      <c r="BG32" s="182">
        <f t="shared" si="35"/>
        <v>3</v>
      </c>
      <c r="BH32" s="164" t="str">
        <f t="shared" si="8"/>
        <v>Very Good</v>
      </c>
      <c r="BI32" s="185"/>
      <c r="BJ32" s="182">
        <f t="shared" si="36"/>
        <v>3</v>
      </c>
      <c r="BK32" s="164" t="str">
        <f t="shared" si="9"/>
        <v>Very Good</v>
      </c>
      <c r="BL32" s="185"/>
      <c r="BO32" s="167"/>
      <c r="BP32" s="167"/>
      <c r="BQ32" s="167" t="str">
        <f t="shared" si="15"/>
        <v/>
      </c>
      <c r="BR32" s="167">
        <f t="shared" si="55"/>
        <v>9</v>
      </c>
      <c r="BS32" s="167">
        <f t="shared" si="56"/>
        <v>9</v>
      </c>
      <c r="BT32" s="167">
        <f t="shared" si="57"/>
        <v>9</v>
      </c>
      <c r="BW32" s="677"/>
      <c r="BX32" s="677"/>
      <c r="BY32" s="287"/>
      <c r="BZ32" s="287"/>
      <c r="CA32" s="287"/>
      <c r="CB32" s="287"/>
    </row>
    <row r="33" spans="1:87" x14ac:dyDescent="0.25">
      <c r="A33" s="96">
        <v>25</v>
      </c>
      <c r="B33" s="96" t="str">
        <f t="shared" si="54"/>
        <v>Man 05c</v>
      </c>
      <c r="C33" s="96" t="str">
        <f t="shared" si="19"/>
        <v>Man 05</v>
      </c>
      <c r="D33" s="167" t="s">
        <v>698</v>
      </c>
      <c r="E33" s="1108" t="s">
        <v>603</v>
      </c>
      <c r="F33" s="775">
        <v>1</v>
      </c>
      <c r="G33" s="775">
        <v>1</v>
      </c>
      <c r="H33" s="775">
        <v>1</v>
      </c>
      <c r="I33" s="775">
        <v>1</v>
      </c>
      <c r="J33" s="775">
        <v>1</v>
      </c>
      <c r="K33" s="775">
        <v>1</v>
      </c>
      <c r="L33" s="775">
        <v>1</v>
      </c>
      <c r="M33" s="775">
        <v>1</v>
      </c>
      <c r="N33" s="775">
        <v>1</v>
      </c>
      <c r="O33" s="775">
        <v>1</v>
      </c>
      <c r="P33" s="775">
        <v>1</v>
      </c>
      <c r="Q33" s="775">
        <v>1</v>
      </c>
      <c r="R33" s="775">
        <v>1</v>
      </c>
      <c r="T33" s="165">
        <f t="shared" si="2"/>
        <v>1</v>
      </c>
      <c r="U33" s="166"/>
      <c r="V33" s="167"/>
      <c r="W33" s="167"/>
      <c r="X33" s="168"/>
      <c r="Y33" s="169">
        <f>IF(OR($Y$4=$Y$5,$Y$4=$Y$6),T33,0)</f>
        <v>0</v>
      </c>
      <c r="Z33" s="1160">
        <f>VLOOKUP(B33,'Manuell filtrering og justering'!$A$7:$H$107,'Manuell filtrering og justering'!$H$1,FALSE)</f>
        <v>1</v>
      </c>
      <c r="AA33" s="1169">
        <f t="shared" si="11"/>
        <v>0</v>
      </c>
      <c r="AB33" s="185">
        <f>IF($AC$5='Manuell filtrering og justering'!$J$2,Z33,(T33-AA33))</f>
        <v>1</v>
      </c>
      <c r="AD33" s="171">
        <f t="shared" si="4"/>
        <v>6.1904761904761907E-3</v>
      </c>
      <c r="AE33" s="171">
        <f>IF(AB33=0,0,(AD33/AB33)*AI33)</f>
        <v>0</v>
      </c>
      <c r="AF33" s="171">
        <f t="shared" si="20"/>
        <v>0</v>
      </c>
      <c r="AG33" s="171">
        <f t="shared" si="21"/>
        <v>0</v>
      </c>
      <c r="AI33" s="172">
        <f>IF(VLOOKUP(E33,'Pre-Assessment Estimator'!$E$11:$Z$225,'Pre-Assessment Estimator'!$G$2,FALSE)&gt;AB33,AB33,VLOOKUP(E33,'Pre-Assessment Estimator'!$E$11:$Z$225,'Pre-Assessment Estimator'!$G$2,FALSE))</f>
        <v>0</v>
      </c>
      <c r="AJ33" s="172">
        <f>IF(VLOOKUP(E33,'Pre-Assessment Estimator'!$E$11:$Z$225,'Pre-Assessment Estimator'!$N$2,FALSE)&gt;AB33,AB33,VLOOKUP(E33,'Pre-Assessment Estimator'!$E$11:$Z$225,'Pre-Assessment Estimator'!$N$2,FALSE))</f>
        <v>0</v>
      </c>
      <c r="AK33" s="172">
        <f>IF(VLOOKUP(E33,'Pre-Assessment Estimator'!$E$11:$Z$225,'Pre-Assessment Estimator'!$U$2,FALSE)&gt;AB33,AB33,VLOOKUP(E33,'Pre-Assessment Estimator'!$E$11:$Z$225,'Pre-Assessment Estimator'!$U$2,FALSE))</f>
        <v>0</v>
      </c>
      <c r="AM33" s="305"/>
      <c r="AN33" s="306"/>
      <c r="AO33" s="306"/>
      <c r="AP33" s="306"/>
      <c r="AQ33" s="307"/>
      <c r="AS33" s="305"/>
      <c r="AT33" s="306"/>
      <c r="AU33" s="306"/>
      <c r="AV33" s="306"/>
      <c r="AW33" s="307"/>
      <c r="AY33" s="188"/>
      <c r="AZ33" s="189"/>
      <c r="BA33" s="189"/>
      <c r="BB33" s="189"/>
      <c r="BC33" s="190"/>
      <c r="BD33" s="182">
        <f t="shared" si="30"/>
        <v>9</v>
      </c>
      <c r="BE33" s="164" t="str">
        <f t="shared" si="6"/>
        <v>N/A</v>
      </c>
      <c r="BF33" s="185"/>
      <c r="BG33" s="182">
        <f t="shared" si="35"/>
        <v>9</v>
      </c>
      <c r="BH33" s="164" t="str">
        <f t="shared" si="8"/>
        <v>N/A</v>
      </c>
      <c r="BI33" s="185"/>
      <c r="BJ33" s="182">
        <f t="shared" si="36"/>
        <v>9</v>
      </c>
      <c r="BK33" s="164" t="str">
        <f t="shared" si="9"/>
        <v>N/A</v>
      </c>
      <c r="BL33" s="185"/>
      <c r="BO33" s="167"/>
      <c r="BP33" s="167"/>
      <c r="BQ33" s="167" t="str">
        <f t="shared" si="15"/>
        <v/>
      </c>
      <c r="BR33" s="167">
        <f t="shared" si="55"/>
        <v>9</v>
      </c>
      <c r="BS33" s="167">
        <f t="shared" si="56"/>
        <v>9</v>
      </c>
      <c r="BT33" s="167">
        <f t="shared" si="57"/>
        <v>9</v>
      </c>
      <c r="BW33" s="677"/>
      <c r="BX33" s="677"/>
      <c r="BY33" s="287"/>
      <c r="BZ33" s="287"/>
      <c r="CA33" s="287"/>
      <c r="CB33" s="287"/>
    </row>
    <row r="34" spans="1:87" x14ac:dyDescent="0.25">
      <c r="A34" s="96">
        <v>26</v>
      </c>
      <c r="D34" s="700" t="s">
        <v>98</v>
      </c>
      <c r="E34" s="700"/>
      <c r="F34" s="934"/>
      <c r="G34" s="934"/>
      <c r="H34" s="934"/>
      <c r="I34" s="934"/>
      <c r="J34" s="934"/>
      <c r="K34" s="934"/>
      <c r="L34" s="934"/>
      <c r="M34" s="934"/>
      <c r="N34" s="934"/>
      <c r="O34" s="934"/>
      <c r="P34" s="934"/>
      <c r="Q34" s="934"/>
      <c r="R34" s="934"/>
      <c r="T34" s="954">
        <f t="shared" si="2"/>
        <v>0</v>
      </c>
      <c r="U34" s="701"/>
      <c r="V34" s="700"/>
      <c r="W34" s="700"/>
      <c r="X34" s="955">
        <f>'Manuell filtrering og justering'!E12</f>
        <v>0</v>
      </c>
      <c r="Y34" s="956"/>
      <c r="Z34" s="1162"/>
      <c r="AA34" s="1169">
        <f t="shared" si="11"/>
        <v>0</v>
      </c>
      <c r="AB34" s="1174">
        <f>IF($AC$5='Manuell filtrering og justering'!$J$2,Z34,(T34-AA34))</f>
        <v>0</v>
      </c>
      <c r="AD34" s="960"/>
      <c r="AE34" s="960"/>
      <c r="AF34" s="960"/>
      <c r="AG34" s="960"/>
      <c r="AI34" s="720"/>
      <c r="AJ34" s="720"/>
      <c r="AK34" s="720"/>
      <c r="AM34" s="292"/>
      <c r="AN34" s="293"/>
      <c r="AO34" s="293"/>
      <c r="AP34" s="293"/>
      <c r="AQ34" s="294"/>
      <c r="AS34" s="292"/>
      <c r="AT34" s="293"/>
      <c r="AU34" s="293"/>
      <c r="AV34" s="293"/>
      <c r="AW34" s="294"/>
      <c r="AY34" s="188"/>
      <c r="AZ34" s="191"/>
      <c r="BA34" s="189"/>
      <c r="BB34" s="189"/>
      <c r="BC34" s="184"/>
      <c r="BD34" s="182">
        <f t="shared" si="30"/>
        <v>9</v>
      </c>
      <c r="BE34" s="164" t="str">
        <f t="shared" si="6"/>
        <v>N/A</v>
      </c>
      <c r="BF34" s="185"/>
      <c r="BG34" s="182">
        <f t="shared" si="35"/>
        <v>9</v>
      </c>
      <c r="BH34" s="164" t="str">
        <f t="shared" si="8"/>
        <v>N/A</v>
      </c>
      <c r="BI34" s="185"/>
      <c r="BJ34" s="182">
        <f t="shared" si="36"/>
        <v>9</v>
      </c>
      <c r="BK34" s="164" t="str">
        <f t="shared" si="9"/>
        <v>N/A</v>
      </c>
      <c r="BL34" s="185"/>
      <c r="BO34" s="167"/>
      <c r="BP34" s="167"/>
      <c r="BQ34" s="167" t="str">
        <f t="shared" si="15"/>
        <v/>
      </c>
      <c r="BR34" s="167">
        <f t="shared" si="55"/>
        <v>9</v>
      </c>
      <c r="BS34" s="167">
        <f t="shared" si="56"/>
        <v>9</v>
      </c>
      <c r="BT34" s="167">
        <f t="shared" si="57"/>
        <v>9</v>
      </c>
      <c r="BW34" s="167"/>
      <c r="BX34" s="167" t="str">
        <f>IFERROR(VLOOKUP($E34,'Pre-Assessment Estimator'!$E$11:$AB$225,'Pre-Assessment Estimator'!AB$2,FALSE),"")</f>
        <v/>
      </c>
      <c r="BY34" s="167" t="str">
        <f>IFERROR(VLOOKUP($E34,'Pre-Assessment Estimator'!$E$11:$AI$225,'Pre-Assessment Estimator'!AI$2,FALSE),"")</f>
        <v/>
      </c>
      <c r="BZ34" s="167" t="str">
        <f t="shared" ref="BZ34:CA38" si="58">IFERROR(VLOOKUP($BX34,$E$292:$H$325,F$290,FALSE),"")</f>
        <v/>
      </c>
      <c r="CA34" s="167" t="str">
        <f t="shared" si="58"/>
        <v/>
      </c>
      <c r="CB34" s="167"/>
      <c r="CC34" s="96" t="str">
        <f t="shared" ref="CC34:CC39" si="59">IFERROR(VLOOKUP($BX34,$E$292:$H$325,I$290,FALSE),"")</f>
        <v/>
      </c>
    </row>
    <row r="35" spans="1:87" ht="15.75" thickBot="1" x14ac:dyDescent="0.3">
      <c r="A35" s="96">
        <v>27</v>
      </c>
      <c r="D35" s="700" t="s">
        <v>99</v>
      </c>
      <c r="E35" s="700"/>
      <c r="F35" s="934"/>
      <c r="G35" s="934"/>
      <c r="H35" s="934"/>
      <c r="I35" s="934"/>
      <c r="J35" s="934"/>
      <c r="K35" s="934"/>
      <c r="L35" s="934"/>
      <c r="M35" s="934"/>
      <c r="N35" s="934"/>
      <c r="O35" s="934"/>
      <c r="P35" s="934"/>
      <c r="Q35" s="934"/>
      <c r="R35" s="934"/>
      <c r="T35" s="954">
        <f t="shared" si="2"/>
        <v>0</v>
      </c>
      <c r="U35" s="701"/>
      <c r="V35" s="700"/>
      <c r="W35" s="700"/>
      <c r="X35" s="955">
        <f>'Manuell filtrering og justering'!E13</f>
        <v>0</v>
      </c>
      <c r="Y35" s="956"/>
      <c r="Z35" s="1162"/>
      <c r="AA35" s="1169">
        <f t="shared" si="11"/>
        <v>0</v>
      </c>
      <c r="AB35" s="1174">
        <f>IF($AC$5='Manuell filtrering og justering'!$J$2,Z35,(T35-AA35))</f>
        <v>0</v>
      </c>
      <c r="AD35" s="960"/>
      <c r="AE35" s="960"/>
      <c r="AF35" s="960"/>
      <c r="AG35" s="960"/>
      <c r="AI35" s="720"/>
      <c r="AJ35" s="720"/>
      <c r="AK35" s="720"/>
      <c r="AM35" s="295"/>
      <c r="AN35" s="296"/>
      <c r="AO35" s="296"/>
      <c r="AP35" s="296"/>
      <c r="AQ35" s="297"/>
      <c r="AS35" s="295"/>
      <c r="AT35" s="296"/>
      <c r="AU35" s="296"/>
      <c r="AV35" s="296"/>
      <c r="AW35" s="297"/>
      <c r="AY35" s="194"/>
      <c r="AZ35" s="195"/>
      <c r="BA35" s="196"/>
      <c r="BB35" s="196"/>
      <c r="BC35" s="197"/>
      <c r="BD35" s="198">
        <f t="shared" ref="BD35:BD169" si="60">IF(BC35=0,9,IF(AI35&gt;=BC35,5,IF(AI35&gt;=BB35,4,IF(AI35&gt;=BA35,3,IF(AI35&gt;=AZ35,2,IF(AI35&lt;AY35,0,1))))))</f>
        <v>9</v>
      </c>
      <c r="BE35" s="164" t="str">
        <f t="shared" si="6"/>
        <v>N/A</v>
      </c>
      <c r="BF35" s="200"/>
      <c r="BG35" s="198">
        <f t="shared" si="7"/>
        <v>9</v>
      </c>
      <c r="BH35" s="164" t="str">
        <f t="shared" si="8"/>
        <v>N/A</v>
      </c>
      <c r="BI35" s="200"/>
      <c r="BJ35" s="198">
        <f t="shared" si="28"/>
        <v>9</v>
      </c>
      <c r="BK35" s="164" t="str">
        <f t="shared" si="9"/>
        <v>N/A</v>
      </c>
      <c r="BL35" s="200"/>
      <c r="BO35" s="167"/>
      <c r="BP35" s="167"/>
      <c r="BQ35" s="167" t="str">
        <f t="shared" si="15"/>
        <v/>
      </c>
      <c r="BR35" s="167">
        <f t="shared" si="55"/>
        <v>9</v>
      </c>
      <c r="BS35" s="167">
        <f t="shared" si="56"/>
        <v>9</v>
      </c>
      <c r="BT35" s="167">
        <f t="shared" si="57"/>
        <v>9</v>
      </c>
      <c r="BW35" s="193"/>
      <c r="BX35" s="193" t="str">
        <f>IFERROR(VLOOKUP($E35,'Pre-Assessment Estimator'!$E$11:$AB$225,'Pre-Assessment Estimator'!AB$2,FALSE),"")</f>
        <v/>
      </c>
      <c r="BY35" s="193" t="str">
        <f>IFERROR(VLOOKUP($E35,'Pre-Assessment Estimator'!$E$11:$AI$225,'Pre-Assessment Estimator'!AI$2,FALSE),"")</f>
        <v/>
      </c>
      <c r="BZ35" s="193" t="str">
        <f t="shared" si="58"/>
        <v/>
      </c>
      <c r="CA35" s="193" t="str">
        <f t="shared" si="58"/>
        <v/>
      </c>
      <c r="CB35" s="193"/>
      <c r="CC35" s="96" t="str">
        <f t="shared" si="59"/>
        <v/>
      </c>
    </row>
    <row r="36" spans="1:87" ht="15.75" thickBot="1" x14ac:dyDescent="0.3">
      <c r="A36" s="96">
        <v>28</v>
      </c>
      <c r="B36" s="96" t="s">
        <v>883</v>
      </c>
      <c r="D36" s="711"/>
      <c r="E36" s="710" t="s">
        <v>215</v>
      </c>
      <c r="F36" s="774">
        <f t="shared" ref="F36:R36" si="61">F10+F16+F19+F26+F30</f>
        <v>21</v>
      </c>
      <c r="G36" s="774">
        <f t="shared" si="61"/>
        <v>21</v>
      </c>
      <c r="H36" s="774">
        <f t="shared" si="61"/>
        <v>21</v>
      </c>
      <c r="I36" s="774">
        <f t="shared" si="61"/>
        <v>21</v>
      </c>
      <c r="J36" s="774">
        <f t="shared" si="61"/>
        <v>21</v>
      </c>
      <c r="K36" s="774">
        <f t="shared" si="61"/>
        <v>21</v>
      </c>
      <c r="L36" s="774">
        <f t="shared" si="61"/>
        <v>21</v>
      </c>
      <c r="M36" s="774">
        <f t="shared" si="61"/>
        <v>21</v>
      </c>
      <c r="N36" s="774">
        <f t="shared" si="61"/>
        <v>21</v>
      </c>
      <c r="O36" s="774">
        <f t="shared" si="61"/>
        <v>21</v>
      </c>
      <c r="P36" s="774">
        <f t="shared" si="61"/>
        <v>21</v>
      </c>
      <c r="Q36" s="774">
        <f t="shared" ref="Q36" si="62">Q10+Q16+Q19+Q26+Q30</f>
        <v>21</v>
      </c>
      <c r="R36" s="774">
        <f t="shared" si="61"/>
        <v>21</v>
      </c>
      <c r="T36" s="203">
        <f t="shared" si="2"/>
        <v>21</v>
      </c>
      <c r="U36" s="204"/>
      <c r="V36" s="205"/>
      <c r="W36" s="205"/>
      <c r="X36" s="206"/>
      <c r="Y36" s="207"/>
      <c r="Z36" s="1163"/>
      <c r="AA36" s="1170">
        <f>AA10+AA16+AA19+AA26+AA30</f>
        <v>0</v>
      </c>
      <c r="AB36" s="1175">
        <f>AB10+AB16+AB19+AB26+AB30</f>
        <v>21</v>
      </c>
      <c r="AD36" s="208">
        <f>AD10+AD16+AD19+AD26+AD30</f>
        <v>0.13</v>
      </c>
      <c r="AE36" s="208">
        <f>AE10+AE16+AE19+AE26+AE30</f>
        <v>0</v>
      </c>
      <c r="AF36" s="208">
        <f>AF10+AF16+AF19+AF26+AF30</f>
        <v>0</v>
      </c>
      <c r="AG36" s="208">
        <f>AG10+AG16+AG19+AG26+AG30</f>
        <v>0</v>
      </c>
      <c r="AI36" s="78">
        <f>AI10+AI16+AI19+AI26+AI30</f>
        <v>0</v>
      </c>
      <c r="AJ36" s="78">
        <f>AJ10+AJ16+AJ19+AJ26+AJ30</f>
        <v>0</v>
      </c>
      <c r="AK36" s="78">
        <f>AK10+AK16+AK19+AK26+AK30</f>
        <v>0</v>
      </c>
      <c r="AM36" s="139"/>
      <c r="AN36" s="139"/>
      <c r="AO36" s="139"/>
      <c r="AP36" s="139"/>
      <c r="AQ36" s="139"/>
      <c r="AS36" s="139"/>
      <c r="AT36" s="139"/>
      <c r="AU36" s="139"/>
      <c r="AV36" s="139"/>
      <c r="AW36" s="139"/>
      <c r="AY36" s="97"/>
      <c r="AZ36" s="209"/>
      <c r="BA36" s="97"/>
      <c r="BB36" s="97"/>
      <c r="BC36" s="97"/>
      <c r="BW36" s="202"/>
      <c r="BX36" s="202" t="str">
        <f>IFERROR(VLOOKUP($E36,'Pre-Assessment Estimator'!$E$11:$AB$225,'Pre-Assessment Estimator'!AB$2,FALSE),"")</f>
        <v/>
      </c>
      <c r="BY36" s="202" t="str">
        <f>IFERROR(VLOOKUP($E36,'Pre-Assessment Estimator'!$E$11:$AI$225,'Pre-Assessment Estimator'!AI$2,FALSE),"")</f>
        <v/>
      </c>
      <c r="BZ36" s="202" t="str">
        <f t="shared" si="58"/>
        <v/>
      </c>
      <c r="CA36" s="202" t="str">
        <f t="shared" si="58"/>
        <v/>
      </c>
      <c r="CB36" s="202"/>
      <c r="CC36" s="96" t="str">
        <f t="shared" si="59"/>
        <v/>
      </c>
    </row>
    <row r="37" spans="1:87" ht="15.75" thickBot="1" x14ac:dyDescent="0.3">
      <c r="A37" s="96">
        <v>29</v>
      </c>
      <c r="AI37" s="1"/>
      <c r="AJ37" s="1"/>
      <c r="AK37" s="1"/>
      <c r="AM37" s="139"/>
      <c r="AN37" s="139"/>
      <c r="AO37" s="139"/>
      <c r="AP37" s="139"/>
      <c r="AQ37" s="139"/>
      <c r="AS37" s="139"/>
      <c r="AT37" s="139"/>
      <c r="AU37" s="139"/>
      <c r="AV37" s="139"/>
      <c r="AW37" s="139"/>
      <c r="AY37" s="97"/>
      <c r="AZ37" s="209"/>
      <c r="BA37" s="97"/>
      <c r="BB37" s="97"/>
      <c r="BC37" s="97"/>
      <c r="BX37" s="96" t="str">
        <f>IFERROR(VLOOKUP($E37,'Pre-Assessment Estimator'!$E$11:$AB$225,'Pre-Assessment Estimator'!AB$2,FALSE),"")</f>
        <v/>
      </c>
      <c r="BY37" s="96" t="str">
        <f>IFERROR(VLOOKUP($E37,'Pre-Assessment Estimator'!$E$11:$AI$225,'Pre-Assessment Estimator'!AI$2,FALSE),"")</f>
        <v/>
      </c>
      <c r="BZ37" s="96" t="str">
        <f t="shared" si="58"/>
        <v/>
      </c>
      <c r="CA37" s="96" t="str">
        <f t="shared" si="58"/>
        <v/>
      </c>
      <c r="CC37" s="96" t="str">
        <f t="shared" si="59"/>
        <v/>
      </c>
    </row>
    <row r="38" spans="1:87" ht="60.75" thickBot="1" x14ac:dyDescent="0.3">
      <c r="A38" s="96">
        <v>30</v>
      </c>
      <c r="D38" s="145"/>
      <c r="E38" s="146" t="s">
        <v>66</v>
      </c>
      <c r="F38" s="1243" t="str">
        <f>$F$9</f>
        <v>Office</v>
      </c>
      <c r="G38" s="1243" t="str">
        <f>$G$9</f>
        <v>Retail</v>
      </c>
      <c r="H38" s="1247" t="str">
        <f>$H$9</f>
        <v>Residential</v>
      </c>
      <c r="I38" s="1243" t="str">
        <f>$I$9</f>
        <v>Industrial</v>
      </c>
      <c r="J38" s="1245" t="str">
        <f>$J$9</f>
        <v>Healthcare</v>
      </c>
      <c r="K38" s="1245" t="str">
        <f>$K$9</f>
        <v>Prison</v>
      </c>
      <c r="L38" s="1245" t="str">
        <f>$L$9</f>
        <v>Law Court</v>
      </c>
      <c r="M38" s="1249" t="str">
        <f>$M$9</f>
        <v>Residential institution (long term stay)</v>
      </c>
      <c r="N38" s="918" t="str">
        <f>$N$9</f>
        <v>Residential institution (short term stay)</v>
      </c>
      <c r="O38" s="918" t="str">
        <f>$O$9</f>
        <v>Non-residential institution</v>
      </c>
      <c r="P38" s="918" t="str">
        <f>$P$9</f>
        <v>Assembly and leisure</v>
      </c>
      <c r="Q38" s="1245" t="str">
        <f>$Q$9</f>
        <v>Education</v>
      </c>
      <c r="R38" s="857" t="str">
        <f>$R$9</f>
        <v>Other</v>
      </c>
      <c r="T38" s="138" t="str">
        <f>$E$6</f>
        <v>Office</v>
      </c>
      <c r="U38" s="210"/>
      <c r="V38" s="211"/>
      <c r="W38" s="666"/>
      <c r="X38" s="1165"/>
      <c r="Y38" s="1178" t="s">
        <v>413</v>
      </c>
      <c r="Z38" s="1176" t="s">
        <v>336</v>
      </c>
      <c r="AA38" s="150" t="s">
        <v>215</v>
      </c>
      <c r="AB38" s="59" t="s">
        <v>15</v>
      </c>
      <c r="AI38" s="42"/>
      <c r="AJ38" s="60"/>
      <c r="AK38" s="60"/>
      <c r="AM38" s="139"/>
      <c r="AN38" s="139"/>
      <c r="AO38" s="139"/>
      <c r="AP38" s="139"/>
      <c r="AQ38" s="139"/>
      <c r="AS38" s="139"/>
      <c r="AT38" s="139"/>
      <c r="AU38" s="139"/>
      <c r="AV38" s="139"/>
      <c r="AW38" s="139"/>
      <c r="AY38" s="97"/>
      <c r="AZ38" s="209"/>
      <c r="BA38" s="97"/>
      <c r="BB38" s="97"/>
      <c r="BC38" s="97"/>
      <c r="BO38" s="60"/>
      <c r="BP38" s="60"/>
      <c r="BQ38" s="60"/>
      <c r="BR38" s="60"/>
      <c r="BS38" s="60"/>
      <c r="BT38" s="60"/>
      <c r="BW38" s="146"/>
      <c r="BX38" s="146" t="str">
        <f>E38</f>
        <v>Health &amp; Wellbeing</v>
      </c>
      <c r="BY38" s="146">
        <f>IFERROR(VLOOKUP($E38,'Pre-Assessment Estimator'!$E$11:$AI$225,'Pre-Assessment Estimator'!AI$2,FALSE),"")</f>
        <v>0</v>
      </c>
      <c r="BZ38" s="146" t="str">
        <f t="shared" si="58"/>
        <v/>
      </c>
      <c r="CA38" s="146" t="str">
        <f t="shared" si="58"/>
        <v/>
      </c>
      <c r="CB38" s="146"/>
      <c r="CC38" s="96" t="str">
        <f t="shared" si="59"/>
        <v/>
      </c>
    </row>
    <row r="39" spans="1:87" x14ac:dyDescent="0.25">
      <c r="A39" s="96">
        <v>31</v>
      </c>
      <c r="B39" s="137" t="str">
        <f>D39</f>
        <v>Hea 01</v>
      </c>
      <c r="C39" s="137" t="str">
        <f>B39</f>
        <v>Hea 01</v>
      </c>
      <c r="D39" s="833" t="s">
        <v>118</v>
      </c>
      <c r="E39" s="831" t="s">
        <v>116</v>
      </c>
      <c r="F39" s="933">
        <f t="shared" ref="F39:K39" si="63">SUM(F41:F45)</f>
        <v>7</v>
      </c>
      <c r="G39" s="933">
        <f t="shared" si="63"/>
        <v>7</v>
      </c>
      <c r="H39" s="933">
        <f t="shared" si="63"/>
        <v>5</v>
      </c>
      <c r="I39" s="933">
        <f t="shared" si="63"/>
        <v>7</v>
      </c>
      <c r="J39" s="933">
        <f t="shared" si="63"/>
        <v>7</v>
      </c>
      <c r="K39" s="933">
        <f t="shared" si="63"/>
        <v>7</v>
      </c>
      <c r="L39" s="933">
        <f t="shared" ref="L39:R39" si="64">SUM(L41:L45)</f>
        <v>7</v>
      </c>
      <c r="M39" s="933">
        <f t="shared" si="64"/>
        <v>7</v>
      </c>
      <c r="N39" s="933">
        <f t="shared" si="64"/>
        <v>7</v>
      </c>
      <c r="O39" s="933">
        <f t="shared" si="64"/>
        <v>7</v>
      </c>
      <c r="P39" s="933">
        <f t="shared" si="64"/>
        <v>7</v>
      </c>
      <c r="Q39" s="933">
        <f t="shared" ref="Q39" si="65">SUM(Q41:Q45)</f>
        <v>7</v>
      </c>
      <c r="R39" s="933">
        <f t="shared" si="64"/>
        <v>7</v>
      </c>
      <c r="T39" s="961">
        <f t="shared" ref="T39:T54" si="66">HLOOKUP($E$6,$F$9:$R$231,$A39,FALSE)</f>
        <v>7</v>
      </c>
      <c r="U39" s="222"/>
      <c r="V39" s="230"/>
      <c r="W39" s="230"/>
      <c r="X39" s="1099">
        <f>'Manuell filtrering og justering'!E17</f>
        <v>0</v>
      </c>
      <c r="Y39" s="963"/>
      <c r="Z39" s="1179">
        <f t="shared" ref="Z39:AB39" si="67">SUM(Z41:Z45)</f>
        <v>7</v>
      </c>
      <c r="AA39" s="963">
        <f t="shared" ref="AA39:AA54" si="68">IF(SUM(U39:Y39)&gt;T39,T39,SUM(U39:Y39))</f>
        <v>0</v>
      </c>
      <c r="AB39" s="1067">
        <f t="shared" si="67"/>
        <v>7</v>
      </c>
      <c r="AD39" s="171">
        <f t="shared" ref="AD39:AD65" si="69">(Hea_Weight/Hea_Credits)*AB39</f>
        <v>5.894736842105263E-2</v>
      </c>
      <c r="AE39" s="921">
        <f>SUM(AE41:AE45)</f>
        <v>0</v>
      </c>
      <c r="AF39" s="921">
        <f>SUM(AF41:AF45)</f>
        <v>0</v>
      </c>
      <c r="AG39" s="921">
        <f>SUM(AG41:AG45)</f>
        <v>0</v>
      </c>
      <c r="AI39" s="958">
        <f t="shared" ref="AI39:AK39" si="70">SUM(AI41:AI45)</f>
        <v>0</v>
      </c>
      <c r="AJ39" s="958">
        <f t="shared" si="70"/>
        <v>0</v>
      </c>
      <c r="AK39" s="958">
        <f t="shared" si="70"/>
        <v>0</v>
      </c>
      <c r="AL39" s="96" t="s">
        <v>427</v>
      </c>
      <c r="AM39" s="298"/>
      <c r="AN39" s="299"/>
      <c r="AO39" s="299"/>
      <c r="AP39" s="299"/>
      <c r="AQ39" s="300"/>
      <c r="AS39" s="298"/>
      <c r="AT39" s="299"/>
      <c r="AU39" s="299"/>
      <c r="AV39" s="299"/>
      <c r="AW39" s="300"/>
      <c r="AY39" s="218"/>
      <c r="AZ39" s="219"/>
      <c r="BA39" s="219"/>
      <c r="BB39" s="219"/>
      <c r="BC39" s="220"/>
      <c r="BD39" s="174">
        <f t="shared" si="60"/>
        <v>9</v>
      </c>
      <c r="BE39" s="164" t="str">
        <f t="shared" ref="BE39:BE65" si="71">VLOOKUP(BD39,$BO$283:$BT$289,6,FALSE)</f>
        <v>N/A</v>
      </c>
      <c r="BF39" s="178"/>
      <c r="BG39" s="174">
        <f t="shared" ref="BG39:BG65" si="72">IF(BC39=0,9,IF(AJ39&gt;=BC39,5,IF(AJ39&gt;=BB39,4,IF(AJ39&gt;=BA39,3,IF(AJ39&gt;=AZ39,2,IF(AJ39&lt;AY39,0,1))))))</f>
        <v>9</v>
      </c>
      <c r="BH39" s="164" t="str">
        <f t="shared" ref="BH39:BH65" si="73">VLOOKUP(BG39,$BO$283:$BT$289,6,FALSE)</f>
        <v>N/A</v>
      </c>
      <c r="BI39" s="178"/>
      <c r="BJ39" s="174">
        <f t="shared" si="28"/>
        <v>9</v>
      </c>
      <c r="BK39" s="164" t="str">
        <f t="shared" ref="BK39:BK65" si="74">VLOOKUP(BJ39,$BO$283:$BT$289,6,FALSE)</f>
        <v>N/A</v>
      </c>
      <c r="BL39" s="178"/>
      <c r="BO39" s="167"/>
      <c r="BP39" s="167"/>
      <c r="BQ39" s="167" t="str">
        <f t="shared" si="15"/>
        <v/>
      </c>
      <c r="BR39" s="167">
        <f t="shared" si="55"/>
        <v>9</v>
      </c>
      <c r="BS39" s="167">
        <f t="shared" si="56"/>
        <v>9</v>
      </c>
      <c r="BT39" s="167">
        <f t="shared" si="57"/>
        <v>9</v>
      </c>
      <c r="BW39" s="674" t="str">
        <f>D39</f>
        <v>Hea 01</v>
      </c>
      <c r="BX39" s="164" t="str">
        <f>IFERROR(VLOOKUP($E39,'Pre-Assessment Estimator'!$E$11:$AB$225,'Pre-Assessment Estimator'!AB$2,FALSE),"")</f>
        <v>No</v>
      </c>
      <c r="BY39" s="674" t="str">
        <f>IFERROR(VLOOKUP($E39,'Pre-Assessment Estimator'!$E$11:$AI$225,'Pre-Assessment Estimator'!AI$2,FALSE),"")</f>
        <v>Ja</v>
      </c>
      <c r="BZ39" s="164">
        <f>IFERROR(VLOOKUP($BX39,$E$292:$H$325,F$290,FALSE),"")</f>
        <v>1</v>
      </c>
      <c r="CA39" s="672" t="s">
        <v>430</v>
      </c>
      <c r="CB39" s="164">
        <f>H297</f>
        <v>2</v>
      </c>
      <c r="CC39" s="96" t="str">
        <f t="shared" si="59"/>
        <v/>
      </c>
      <c r="CD39" s="681" t="s">
        <v>405</v>
      </c>
      <c r="CE39" s="167">
        <f t="shared" ref="CE39:CE55" si="75">VLOOKUP(CA39,$CA$4:$CB$5,2,FALSE)</f>
        <v>0</v>
      </c>
      <c r="CG39" s="681">
        <f>IF($BX$5=ais_nei,CE39,IF(CD39=$BY$5,IF(AND(CA39=$CA$4,BX39=$CC$4),0,BZ39),CE39))</f>
        <v>0</v>
      </c>
    </row>
    <row r="40" spans="1:87" x14ac:dyDescent="0.25">
      <c r="A40" s="96">
        <v>32</v>
      </c>
      <c r="B40" s="137"/>
      <c r="C40" s="96" t="str">
        <f t="shared" si="19"/>
        <v>Hea 01</v>
      </c>
      <c r="D40" s="833" t="s">
        <v>694</v>
      </c>
      <c r="E40" s="940" t="s">
        <v>1075</v>
      </c>
      <c r="F40" s="767"/>
      <c r="G40" s="767"/>
      <c r="H40" s="767"/>
      <c r="I40" s="767"/>
      <c r="J40" s="767"/>
      <c r="K40" s="767"/>
      <c r="L40" s="767"/>
      <c r="M40" s="767"/>
      <c r="N40" s="767"/>
      <c r="O40" s="767"/>
      <c r="P40" s="767"/>
      <c r="Q40" s="767"/>
      <c r="R40" s="767"/>
      <c r="T40" s="212">
        <f t="shared" si="66"/>
        <v>0</v>
      </c>
      <c r="U40" s="166"/>
      <c r="V40" s="167"/>
      <c r="W40" s="167"/>
      <c r="X40" s="168"/>
      <c r="Y40" s="169"/>
      <c r="Z40" s="1160"/>
      <c r="AA40" s="169">
        <f t="shared" si="68"/>
        <v>0</v>
      </c>
      <c r="AB40" s="170">
        <f>IF($AC$5='Manuell filtrering og justering'!$J$2,Z40,(T40-AA40))</f>
        <v>0</v>
      </c>
      <c r="AD40" s="171">
        <f t="shared" ref="AD40" si="76">(Hea_Weight/Hea_Credits)*AB40</f>
        <v>0</v>
      </c>
      <c r="AE40" s="171">
        <f t="shared" ref="AE40" si="77">IF(AB40=0,0,(AD40/AB40)*AI40)</f>
        <v>0</v>
      </c>
      <c r="AF40" s="171">
        <f t="shared" ref="AF40" si="78">IF(AB40=0,0,(AD40/AB40)*AJ40)</f>
        <v>0</v>
      </c>
      <c r="AG40" s="171">
        <f t="shared" ref="AG40" si="79">IF(AB40=0,0,(AD40/AB40)*AK40)</f>
        <v>0</v>
      </c>
      <c r="AI40" s="172" t="e">
        <f>IF(VLOOKUP(E40,'Pre-Assessment Estimator'!$E$11:$Z$225,'Pre-Assessment Estimator'!$G$2,FALSE)&gt;AB40,AB40,VLOOKUP(E40,'Pre-Assessment Estimator'!$E$11:$Z$225,'Pre-Assessment Estimator'!$G$2,FALSE))</f>
        <v>#N/A</v>
      </c>
      <c r="AJ40" s="172" t="e">
        <f>IF(VLOOKUP(E40,'Pre-Assessment Estimator'!$E$11:$Z$225,'Pre-Assessment Estimator'!$N$2,FALSE)&gt;AB40,AB40,VLOOKUP(E40,'Pre-Assessment Estimator'!$E$11:$Z$225,'Pre-Assessment Estimator'!$N$2,FALSE))</f>
        <v>#N/A</v>
      </c>
      <c r="AK40" s="172" t="e">
        <f>IF(VLOOKUP(E40,'Pre-Assessment Estimator'!$E$11:$Z$225,'Pre-Assessment Estimator'!$U$2,FALSE)&gt;AB40,AB40,VLOOKUP(E40,'Pre-Assessment Estimator'!$E$11:$Z$225,'Pre-Assessment Estimator'!$U$2,FALSE))</f>
        <v>#N/A</v>
      </c>
      <c r="AM40" s="291"/>
      <c r="AN40" s="181"/>
      <c r="AO40" s="304"/>
      <c r="AP40" s="293"/>
      <c r="AQ40" s="294"/>
      <c r="AS40" s="292"/>
      <c r="AT40" s="293"/>
      <c r="AU40" s="293"/>
      <c r="AV40" s="293"/>
      <c r="AW40" s="294"/>
      <c r="AY40" s="182"/>
      <c r="AZ40" s="183"/>
      <c r="BA40" s="183"/>
      <c r="BB40" s="183"/>
      <c r="BC40" s="176"/>
      <c r="BD40" s="687">
        <f t="shared" ref="BD40" si="80">IF(BC40=0,9,IF((AI40-CG40)&gt;=BC40,5,IF((AI40-CG40)&gt;=BB40,4,IF((AI40-CG40)&gt;=BA40,3,IF((AI40-CG40)&gt;=AZ40,2,IF((AI40-CG40)&lt;AY40,0,1))))))</f>
        <v>9</v>
      </c>
      <c r="BE40" s="164" t="str">
        <f t="shared" si="71"/>
        <v>N/A</v>
      </c>
      <c r="BF40" s="185"/>
      <c r="BG40" s="182">
        <f t="shared" ref="BG40" si="81">IF(BC40=0,9,IF((AJ40-CG40)&gt;=BC40,5,IF((AJ40-CG40)&gt;=BB40,4,IF((AJ40-CG40)&gt;=BA40,3,IF((AJ40-CG40)&gt;=AZ40,2,IF((AJ40-CG40)&lt;AY40,0,1))))))</f>
        <v>9</v>
      </c>
      <c r="BH40" s="164" t="str">
        <f t="shared" si="73"/>
        <v>N/A</v>
      </c>
      <c r="BI40" s="185"/>
      <c r="BJ40" s="182">
        <f t="shared" ref="BJ40" si="82">IF(BC40=0,9,IF((AK40-CG40)&gt;=BC40,5,IF((AK40-CG40)&gt;=BB40,4,IF((AK40-CG40)&gt;=BA40,3,IF((AK40-CG40)&gt;=AZ40,2,IF((AK40-CG40)&lt;AY40,0,1))))))</f>
        <v>9</v>
      </c>
      <c r="BK40" s="164" t="str">
        <f t="shared" si="74"/>
        <v>N/A</v>
      </c>
      <c r="BL40" s="185"/>
      <c r="BO40" s="167"/>
      <c r="BP40" s="167"/>
      <c r="BQ40" s="167" t="str">
        <f t="shared" si="15"/>
        <v/>
      </c>
      <c r="BR40" s="167">
        <f t="shared" si="55"/>
        <v>9</v>
      </c>
      <c r="BS40" s="167">
        <f t="shared" si="56"/>
        <v>9</v>
      </c>
      <c r="BT40" s="167">
        <f t="shared" si="57"/>
        <v>9</v>
      </c>
      <c r="BW40" s="674"/>
      <c r="BX40" s="164"/>
      <c r="BY40" s="674"/>
      <c r="BZ40" s="164"/>
      <c r="CA40" s="672"/>
      <c r="CB40" s="164"/>
      <c r="CD40" s="681"/>
      <c r="CE40" s="167"/>
      <c r="CG40" s="681"/>
    </row>
    <row r="41" spans="1:87" x14ac:dyDescent="0.25">
      <c r="A41" s="96">
        <v>33</v>
      </c>
      <c r="B41" s="96" t="str">
        <f t="shared" ref="B41:B45" si="83">$D$39&amp;D41</f>
        <v>Hea 01b</v>
      </c>
      <c r="C41" s="96" t="str">
        <f t="shared" si="19"/>
        <v>Hea 01</v>
      </c>
      <c r="D41" s="163" t="s">
        <v>697</v>
      </c>
      <c r="E41" s="1108" t="s">
        <v>604</v>
      </c>
      <c r="F41" s="939">
        <v>3</v>
      </c>
      <c r="G41" s="939">
        <v>3</v>
      </c>
      <c r="H41" s="939">
        <v>3</v>
      </c>
      <c r="I41" s="939">
        <v>3</v>
      </c>
      <c r="J41" s="939">
        <v>3</v>
      </c>
      <c r="K41" s="939">
        <v>3</v>
      </c>
      <c r="L41" s="939">
        <v>3</v>
      </c>
      <c r="M41" s="939">
        <v>3</v>
      </c>
      <c r="N41" s="939">
        <v>3</v>
      </c>
      <c r="O41" s="939">
        <v>3</v>
      </c>
      <c r="P41" s="939">
        <v>3</v>
      </c>
      <c r="Q41" s="939">
        <v>3</v>
      </c>
      <c r="R41" s="939">
        <v>3</v>
      </c>
      <c r="T41" s="212">
        <f t="shared" si="66"/>
        <v>3</v>
      </c>
      <c r="U41" s="166"/>
      <c r="V41" s="167"/>
      <c r="W41" s="167"/>
      <c r="X41" s="168"/>
      <c r="Y41" s="169"/>
      <c r="Z41" s="1160">
        <f>VLOOKUP(B41,'Manuell filtrering og justering'!$A$7:$H$107,'Manuell filtrering og justering'!$H$1,FALSE)</f>
        <v>3</v>
      </c>
      <c r="AA41" s="169">
        <f t="shared" si="68"/>
        <v>0</v>
      </c>
      <c r="AB41" s="170">
        <f>IF($AC$5='Manuell filtrering og justering'!$J$2,Z41,(T41-AA41))</f>
        <v>3</v>
      </c>
      <c r="AD41" s="171">
        <f t="shared" si="69"/>
        <v>2.5263157894736842E-2</v>
      </c>
      <c r="AE41" s="171">
        <f>IF(AB41=0,0,(AD41/AB41)*AI41)</f>
        <v>0</v>
      </c>
      <c r="AF41" s="171">
        <f>IF(AB41=0,0,(AD41/AB41)*AJ41)</f>
        <v>0</v>
      </c>
      <c r="AG41" s="171">
        <f>IF(AB41=0,0,(AD41/AB41)*AK41)</f>
        <v>0</v>
      </c>
      <c r="AI41" s="1068">
        <f>IF(AI$234=AD_no,0,IF(VLOOKUP(E41,'Pre-Assessment Estimator'!$E$11:$Z$225,'Pre-Assessment Estimator'!$G$2,FALSE)&gt;AB41,AB41,VLOOKUP(E41,'Pre-Assessment Estimator'!$E$11:$Z$225,'Pre-Assessment Estimator'!$G$2,FALSE)))</f>
        <v>0</v>
      </c>
      <c r="AJ41" s="1068">
        <f>IF($AJ$234=AD_no,0,IF(VLOOKUP(E41,'Pre-Assessment Estimator'!$E$11:$Z$225,'Pre-Assessment Estimator'!$N$2,FALSE)&gt;AB41,AB41,VLOOKUP(E41,'Pre-Assessment Estimator'!$E$11:$Z$225,'Pre-Assessment Estimator'!$N$2,FALSE)))</f>
        <v>0</v>
      </c>
      <c r="AK41" s="1068">
        <f>IF($AK$234=AD_no,0,IF(VLOOKUP(E41,'Pre-Assessment Estimator'!$E$11:$Z$225,'Pre-Assessment Estimator'!$U$2,FALSE)&gt;AB41,AB41,VLOOKUP(E41,'Pre-Assessment Estimator'!$E$11:$Z$225,'Pre-Assessment Estimator'!$U$2,FALSE)))</f>
        <v>0</v>
      </c>
      <c r="AM41" s="835"/>
      <c r="AN41" s="836"/>
      <c r="AO41" s="836"/>
      <c r="AP41" s="836"/>
      <c r="AQ41" s="837"/>
      <c r="AS41" s="835"/>
      <c r="AT41" s="836"/>
      <c r="AU41" s="836"/>
      <c r="AV41" s="836"/>
      <c r="AW41" s="837"/>
      <c r="AY41" s="708"/>
      <c r="AZ41" s="709"/>
      <c r="BA41" s="709"/>
      <c r="BB41" s="709"/>
      <c r="BC41" s="838"/>
      <c r="BD41" s="687">
        <f t="shared" ref="BD41:BD45" si="84">IF(BC41=0,9,IF((AI41-CG41)&gt;=BC41,5,IF((AI41-CG41)&gt;=BB41,4,IF((AI41-CG41)&gt;=BA41,3,IF((AI41-CG41)&gt;=AZ41,2,IF((AI41-CG41)&lt;AY41,0,1))))))</f>
        <v>9</v>
      </c>
      <c r="BE41" s="164" t="str">
        <f t="shared" si="71"/>
        <v>N/A</v>
      </c>
      <c r="BF41" s="185"/>
      <c r="BG41" s="182">
        <f t="shared" ref="BG41:BG45" si="85">IF(BC41=0,9,IF((AJ41-CG41)&gt;=BC41,5,IF((AJ41-CG41)&gt;=BB41,4,IF((AJ41-CG41)&gt;=BA41,3,IF((AJ41-CG41)&gt;=AZ41,2,IF((AJ41-CG41)&lt;AY41,0,1))))))</f>
        <v>9</v>
      </c>
      <c r="BH41" s="164" t="str">
        <f t="shared" si="73"/>
        <v>N/A</v>
      </c>
      <c r="BI41" s="185"/>
      <c r="BJ41" s="182">
        <f t="shared" ref="BJ41:BJ45" si="86">IF(BC41=0,9,IF((AK41-CG41)&gt;=BC41,5,IF((AK41-CG41)&gt;=BB41,4,IF((AK41-CG41)&gt;=BA41,3,IF((AK41-CG41)&gt;=AZ41,2,IF((AK41-CG41)&lt;AY41,0,1))))))</f>
        <v>9</v>
      </c>
      <c r="BK41" s="164" t="str">
        <f t="shared" si="74"/>
        <v>N/A</v>
      </c>
      <c r="BL41" s="830"/>
      <c r="BO41" s="167"/>
      <c r="BP41" s="167"/>
      <c r="BQ41" s="167" t="str">
        <f t="shared" si="15"/>
        <v/>
      </c>
      <c r="BR41" s="167">
        <f t="shared" si="55"/>
        <v>9</v>
      </c>
      <c r="BS41" s="167">
        <f t="shared" si="56"/>
        <v>9</v>
      </c>
      <c r="BT41" s="167">
        <f t="shared" si="57"/>
        <v>9</v>
      </c>
      <c r="BW41" s="674"/>
      <c r="BX41" s="164"/>
      <c r="BY41" s="674"/>
      <c r="BZ41" s="164"/>
      <c r="CA41" s="672"/>
      <c r="CB41" s="164"/>
      <c r="CD41" s="681"/>
      <c r="CE41" s="167"/>
      <c r="CG41" s="681"/>
    </row>
    <row r="42" spans="1:87" x14ac:dyDescent="0.25">
      <c r="A42" s="96">
        <v>34</v>
      </c>
      <c r="B42" s="96" t="str">
        <f t="shared" si="83"/>
        <v>Hea 01c</v>
      </c>
      <c r="C42" s="96" t="str">
        <f t="shared" si="19"/>
        <v>Hea 01</v>
      </c>
      <c r="D42" s="163" t="s">
        <v>698</v>
      </c>
      <c r="E42" s="1108" t="s">
        <v>605</v>
      </c>
      <c r="F42" s="939">
        <v>1</v>
      </c>
      <c r="G42" s="939">
        <v>1</v>
      </c>
      <c r="H42" s="1022">
        <v>0</v>
      </c>
      <c r="I42" s="939">
        <v>1</v>
      </c>
      <c r="J42" s="939">
        <v>1</v>
      </c>
      <c r="K42" s="939">
        <v>1</v>
      </c>
      <c r="L42" s="939">
        <v>1</v>
      </c>
      <c r="M42" s="939">
        <v>1</v>
      </c>
      <c r="N42" s="939">
        <v>1</v>
      </c>
      <c r="O42" s="939">
        <v>1</v>
      </c>
      <c r="P42" s="939">
        <v>1</v>
      </c>
      <c r="Q42" s="939">
        <v>1</v>
      </c>
      <c r="R42" s="939">
        <v>1</v>
      </c>
      <c r="T42" s="212">
        <f t="shared" si="66"/>
        <v>1</v>
      </c>
      <c r="U42" s="166"/>
      <c r="V42" s="167"/>
      <c r="W42" s="167"/>
      <c r="X42" s="168"/>
      <c r="Y42" s="169">
        <f>IF(OR($Y$4=$Y$5,$Y$4=$Y$6),T42,0)</f>
        <v>0</v>
      </c>
      <c r="Z42" s="1160">
        <f>VLOOKUP(B42,'Manuell filtrering og justering'!$A$7:$H$107,'Manuell filtrering og justering'!$H$1,FALSE)</f>
        <v>1</v>
      </c>
      <c r="AA42" s="169">
        <f t="shared" si="68"/>
        <v>0</v>
      </c>
      <c r="AB42" s="170">
        <f>IF($AC$5='Manuell filtrering og justering'!$J$2,Z42,(T42-AA42))</f>
        <v>1</v>
      </c>
      <c r="AD42" s="171">
        <f t="shared" si="69"/>
        <v>8.4210526315789472E-3</v>
      </c>
      <c r="AE42" s="171">
        <f t="shared" ref="AE42:AE64" si="87">IF(AB42=0,0,(AD42/AB42)*AI42)</f>
        <v>0</v>
      </c>
      <c r="AF42" s="171">
        <f t="shared" ref="AF42:AF64" si="88">IF(AB42=0,0,(AD42/AB42)*AJ42)</f>
        <v>0</v>
      </c>
      <c r="AG42" s="171">
        <f t="shared" ref="AG42:AG64" si="89">IF(AB42=0,0,(AD42/AB42)*AK42)</f>
        <v>0</v>
      </c>
      <c r="AI42" s="1068">
        <f>IF(AI$234=AD_no,0,IF(VLOOKUP(E42,'Pre-Assessment Estimator'!$E$11:$Z$225,'Pre-Assessment Estimator'!$G$2,FALSE)&gt;AB42,AB42,VLOOKUP(E42,'Pre-Assessment Estimator'!$E$11:$Z$225,'Pre-Assessment Estimator'!$G$2,FALSE)))</f>
        <v>0</v>
      </c>
      <c r="AJ42" s="1068">
        <f>IF($AJ$234=AD_no,0,IF(VLOOKUP(E42,'Pre-Assessment Estimator'!$E$11:$Z$225,'Pre-Assessment Estimator'!$N$2,FALSE)&gt;AB42,AB42,VLOOKUP(E42,'Pre-Assessment Estimator'!$E$11:$Z$225,'Pre-Assessment Estimator'!$N$2,FALSE)))</f>
        <v>0</v>
      </c>
      <c r="AK42" s="1068">
        <f>IF($AK$234=AD_no,0,IF(VLOOKUP(E42,'Pre-Assessment Estimator'!$E$11:$Z$225,'Pre-Assessment Estimator'!$U$2,FALSE)&gt;AB42,AB42,VLOOKUP(E42,'Pre-Assessment Estimator'!$E$11:$Z$225,'Pre-Assessment Estimator'!$U$2,FALSE)))</f>
        <v>0</v>
      </c>
      <c r="AM42" s="835"/>
      <c r="AN42" s="836"/>
      <c r="AO42" s="836"/>
      <c r="AP42" s="836"/>
      <c r="AQ42" s="837"/>
      <c r="AS42" s="835"/>
      <c r="AT42" s="836"/>
      <c r="AU42" s="836"/>
      <c r="AV42" s="836"/>
      <c r="AW42" s="837"/>
      <c r="AY42" s="708"/>
      <c r="AZ42" s="709"/>
      <c r="BA42" s="709"/>
      <c r="BB42" s="709"/>
      <c r="BC42" s="838"/>
      <c r="BD42" s="687">
        <f t="shared" si="84"/>
        <v>9</v>
      </c>
      <c r="BE42" s="164" t="str">
        <f t="shared" si="71"/>
        <v>N/A</v>
      </c>
      <c r="BF42" s="185"/>
      <c r="BG42" s="182">
        <f t="shared" si="85"/>
        <v>9</v>
      </c>
      <c r="BH42" s="164" t="str">
        <f t="shared" si="73"/>
        <v>N/A</v>
      </c>
      <c r="BI42" s="185"/>
      <c r="BJ42" s="182">
        <f t="shared" si="86"/>
        <v>9</v>
      </c>
      <c r="BK42" s="164" t="str">
        <f t="shared" si="74"/>
        <v>N/A</v>
      </c>
      <c r="BL42" s="830"/>
      <c r="BO42" s="167"/>
      <c r="BP42" s="167"/>
      <c r="BQ42" s="167" t="str">
        <f t="shared" si="15"/>
        <v/>
      </c>
      <c r="BR42" s="167">
        <f t="shared" si="55"/>
        <v>9</v>
      </c>
      <c r="BS42" s="167">
        <f t="shared" si="56"/>
        <v>9</v>
      </c>
      <c r="BT42" s="167">
        <f t="shared" si="57"/>
        <v>9</v>
      </c>
      <c r="BW42" s="674"/>
      <c r="BX42" s="164"/>
      <c r="BY42" s="674"/>
      <c r="BZ42" s="164"/>
      <c r="CA42" s="672"/>
      <c r="CB42" s="164"/>
      <c r="CD42" s="681"/>
      <c r="CE42" s="167"/>
      <c r="CG42" s="681"/>
    </row>
    <row r="43" spans="1:87" x14ac:dyDescent="0.25">
      <c r="A43" s="96">
        <v>35</v>
      </c>
      <c r="B43" s="96" t="str">
        <f t="shared" si="83"/>
        <v>Hea 01d</v>
      </c>
      <c r="C43" s="96" t="str">
        <f t="shared" si="19"/>
        <v>Hea 01</v>
      </c>
      <c r="D43" s="163" t="s">
        <v>696</v>
      </c>
      <c r="E43" s="1108" t="s">
        <v>606</v>
      </c>
      <c r="F43" s="939">
        <v>1</v>
      </c>
      <c r="G43" s="939">
        <v>1</v>
      </c>
      <c r="H43" s="939">
        <v>1</v>
      </c>
      <c r="I43" s="939">
        <v>1</v>
      </c>
      <c r="J43" s="939">
        <v>1</v>
      </c>
      <c r="K43" s="939">
        <v>1</v>
      </c>
      <c r="L43" s="939">
        <v>1</v>
      </c>
      <c r="M43" s="939">
        <v>1</v>
      </c>
      <c r="N43" s="939">
        <v>1</v>
      </c>
      <c r="O43" s="939">
        <v>1</v>
      </c>
      <c r="P43" s="939">
        <v>1</v>
      </c>
      <c r="Q43" s="939">
        <v>1</v>
      </c>
      <c r="R43" s="939">
        <v>1</v>
      </c>
      <c r="T43" s="212">
        <f t="shared" si="66"/>
        <v>1</v>
      </c>
      <c r="U43" s="166"/>
      <c r="V43" s="167"/>
      <c r="W43" s="167"/>
      <c r="X43" s="168"/>
      <c r="Y43" s="169"/>
      <c r="Z43" s="1160">
        <f>VLOOKUP(B43,'Manuell filtrering og justering'!$A$7:$H$107,'Manuell filtrering og justering'!$H$1,FALSE)</f>
        <v>1</v>
      </c>
      <c r="AA43" s="169">
        <f t="shared" si="68"/>
        <v>0</v>
      </c>
      <c r="AB43" s="170">
        <f>IF($AC$5='Manuell filtrering og justering'!$J$2,Z43,(T43-AA43))</f>
        <v>1</v>
      </c>
      <c r="AD43" s="171">
        <f t="shared" si="69"/>
        <v>8.4210526315789472E-3</v>
      </c>
      <c r="AE43" s="171">
        <f t="shared" si="87"/>
        <v>0</v>
      </c>
      <c r="AF43" s="171">
        <f t="shared" si="88"/>
        <v>0</v>
      </c>
      <c r="AG43" s="171">
        <f t="shared" si="89"/>
        <v>0</v>
      </c>
      <c r="AI43" s="1068">
        <f>IF(AI$234=AD_no,0,IF(VLOOKUP(E43,'Pre-Assessment Estimator'!$E$11:$Z$225,'Pre-Assessment Estimator'!$G$2,FALSE)&gt;AB43,AB43,VLOOKUP(E43,'Pre-Assessment Estimator'!$E$11:$Z$225,'Pre-Assessment Estimator'!$G$2,FALSE)))</f>
        <v>0</v>
      </c>
      <c r="AJ43" s="1068">
        <f>IF($AJ$234=AD_no,0,IF(VLOOKUP(E43,'Pre-Assessment Estimator'!$E$11:$Z$225,'Pre-Assessment Estimator'!$N$2,FALSE)&gt;AB43,AB43,VLOOKUP(E43,'Pre-Assessment Estimator'!$E$11:$Z$225,'Pre-Assessment Estimator'!$N$2,FALSE)))</f>
        <v>0</v>
      </c>
      <c r="AK43" s="1068">
        <f>IF($AK$234=AD_no,0,IF(VLOOKUP(E43,'Pre-Assessment Estimator'!$E$11:$Z$225,'Pre-Assessment Estimator'!$U$2,FALSE)&gt;AB43,AB43,VLOOKUP(E43,'Pre-Assessment Estimator'!$E$11:$Z$225,'Pre-Assessment Estimator'!$U$2,FALSE)))</f>
        <v>0</v>
      </c>
      <c r="AM43" s="835"/>
      <c r="AN43" s="836"/>
      <c r="AO43" s="836"/>
      <c r="AP43" s="836"/>
      <c r="AQ43" s="837"/>
      <c r="AS43" s="835"/>
      <c r="AT43" s="836"/>
      <c r="AU43" s="836"/>
      <c r="AV43" s="836"/>
      <c r="AW43" s="837"/>
      <c r="AY43" s="708"/>
      <c r="AZ43" s="709"/>
      <c r="BA43" s="709"/>
      <c r="BB43" s="709"/>
      <c r="BC43" s="838"/>
      <c r="BD43" s="687">
        <f t="shared" si="84"/>
        <v>9</v>
      </c>
      <c r="BE43" s="164" t="str">
        <f t="shared" si="71"/>
        <v>N/A</v>
      </c>
      <c r="BF43" s="185"/>
      <c r="BG43" s="182">
        <f t="shared" si="85"/>
        <v>9</v>
      </c>
      <c r="BH43" s="164" t="str">
        <f t="shared" si="73"/>
        <v>N/A</v>
      </c>
      <c r="BI43" s="185"/>
      <c r="BJ43" s="182">
        <f t="shared" si="86"/>
        <v>9</v>
      </c>
      <c r="BK43" s="164" t="str">
        <f t="shared" si="74"/>
        <v>N/A</v>
      </c>
      <c r="BL43" s="830"/>
      <c r="BO43" s="167"/>
      <c r="BP43" s="167"/>
      <c r="BQ43" s="167" t="str">
        <f t="shared" si="15"/>
        <v/>
      </c>
      <c r="BR43" s="167">
        <f t="shared" si="55"/>
        <v>9</v>
      </c>
      <c r="BS43" s="167">
        <f t="shared" si="56"/>
        <v>9</v>
      </c>
      <c r="BT43" s="167">
        <f t="shared" si="57"/>
        <v>9</v>
      </c>
      <c r="BW43" s="674"/>
      <c r="BX43" s="164"/>
      <c r="BY43" s="674"/>
      <c r="BZ43" s="164"/>
      <c r="CA43" s="672"/>
      <c r="CB43" s="164"/>
      <c r="CD43" s="681"/>
      <c r="CE43" s="167"/>
      <c r="CG43" s="681"/>
    </row>
    <row r="44" spans="1:87" x14ac:dyDescent="0.25">
      <c r="A44" s="96">
        <v>36</v>
      </c>
      <c r="B44" s="96" t="str">
        <f t="shared" si="83"/>
        <v>Hea 01e</v>
      </c>
      <c r="C44" s="96" t="str">
        <f t="shared" si="19"/>
        <v>Hea 01</v>
      </c>
      <c r="D44" s="163" t="s">
        <v>695</v>
      </c>
      <c r="E44" s="1108" t="s">
        <v>607</v>
      </c>
      <c r="F44" s="939">
        <v>1</v>
      </c>
      <c r="G44" s="939">
        <v>1</v>
      </c>
      <c r="H44" s="939">
        <v>1</v>
      </c>
      <c r="I44" s="939">
        <v>1</v>
      </c>
      <c r="J44" s="939">
        <v>1</v>
      </c>
      <c r="K44" s="939">
        <v>1</v>
      </c>
      <c r="L44" s="939">
        <v>1</v>
      </c>
      <c r="M44" s="939">
        <v>1</v>
      </c>
      <c r="N44" s="939">
        <v>1</v>
      </c>
      <c r="O44" s="939">
        <v>1</v>
      </c>
      <c r="P44" s="939">
        <v>1</v>
      </c>
      <c r="Q44" s="939">
        <v>1</v>
      </c>
      <c r="R44" s="939">
        <v>1</v>
      </c>
      <c r="T44" s="212">
        <f t="shared" si="66"/>
        <v>1</v>
      </c>
      <c r="U44" s="166"/>
      <c r="V44" s="167"/>
      <c r="W44" s="167"/>
      <c r="X44" s="168"/>
      <c r="Y44" s="169"/>
      <c r="Z44" s="1160">
        <f>VLOOKUP(B44,'Manuell filtrering og justering'!$A$7:$H$107,'Manuell filtrering og justering'!$H$1,FALSE)</f>
        <v>1</v>
      </c>
      <c r="AA44" s="169">
        <f t="shared" si="68"/>
        <v>0</v>
      </c>
      <c r="AB44" s="170">
        <f>IF($AC$5='Manuell filtrering og justering'!$J$2,Z44,(T44-AA44))</f>
        <v>1</v>
      </c>
      <c r="AD44" s="171">
        <f t="shared" si="69"/>
        <v>8.4210526315789472E-3</v>
      </c>
      <c r="AE44" s="171">
        <f t="shared" si="87"/>
        <v>0</v>
      </c>
      <c r="AF44" s="171">
        <f t="shared" si="88"/>
        <v>0</v>
      </c>
      <c r="AG44" s="171">
        <f t="shared" si="89"/>
        <v>0</v>
      </c>
      <c r="AI44" s="1068">
        <f>IF(AI$234=AD_no,0,IF(VLOOKUP(E44,'Pre-Assessment Estimator'!$E$11:$Z$225,'Pre-Assessment Estimator'!$G$2,FALSE)&gt;AB44,AB44,VLOOKUP(E44,'Pre-Assessment Estimator'!$E$11:$Z$225,'Pre-Assessment Estimator'!$G$2,FALSE)))</f>
        <v>0</v>
      </c>
      <c r="AJ44" s="1068">
        <f>IF($AJ$234=AD_no,0,IF(VLOOKUP(E44,'Pre-Assessment Estimator'!$E$11:$Z$225,'Pre-Assessment Estimator'!$N$2,FALSE)&gt;AB44,AB44,VLOOKUP(E44,'Pre-Assessment Estimator'!$E$11:$Z$225,'Pre-Assessment Estimator'!$N$2,FALSE)))</f>
        <v>0</v>
      </c>
      <c r="AK44" s="1068">
        <f>IF($AK$234=AD_no,0,IF(VLOOKUP(E44,'Pre-Assessment Estimator'!$E$11:$Z$225,'Pre-Assessment Estimator'!$U$2,FALSE)&gt;AB44,AB44,VLOOKUP(E44,'Pre-Assessment Estimator'!$E$11:$Z$225,'Pre-Assessment Estimator'!$U$2,FALSE)))</f>
        <v>0</v>
      </c>
      <c r="AM44" s="835"/>
      <c r="AN44" s="836"/>
      <c r="AO44" s="836"/>
      <c r="AP44" s="836"/>
      <c r="AQ44" s="837"/>
      <c r="AS44" s="835"/>
      <c r="AT44" s="836"/>
      <c r="AU44" s="836"/>
      <c r="AV44" s="836"/>
      <c r="AW44" s="837"/>
      <c r="AY44" s="708"/>
      <c r="AZ44" s="709"/>
      <c r="BA44" s="709"/>
      <c r="BB44" s="709"/>
      <c r="BC44" s="838"/>
      <c r="BD44" s="687">
        <f t="shared" si="84"/>
        <v>9</v>
      </c>
      <c r="BE44" s="164" t="str">
        <f t="shared" si="71"/>
        <v>N/A</v>
      </c>
      <c r="BF44" s="185"/>
      <c r="BG44" s="182">
        <f t="shared" si="85"/>
        <v>9</v>
      </c>
      <c r="BH44" s="164" t="str">
        <f t="shared" si="73"/>
        <v>N/A</v>
      </c>
      <c r="BI44" s="185"/>
      <c r="BJ44" s="182">
        <f t="shared" si="86"/>
        <v>9</v>
      </c>
      <c r="BK44" s="164" t="str">
        <f t="shared" si="74"/>
        <v>N/A</v>
      </c>
      <c r="BL44" s="830"/>
      <c r="BO44" s="167"/>
      <c r="BP44" s="167"/>
      <c r="BQ44" s="167" t="str">
        <f t="shared" si="15"/>
        <v/>
      </c>
      <c r="BR44" s="167">
        <f t="shared" si="55"/>
        <v>9</v>
      </c>
      <c r="BS44" s="167">
        <f t="shared" si="56"/>
        <v>9</v>
      </c>
      <c r="BT44" s="167">
        <f t="shared" si="57"/>
        <v>9</v>
      </c>
      <c r="BW44" s="674"/>
      <c r="BX44" s="164"/>
      <c r="BY44" s="674"/>
      <c r="BZ44" s="164"/>
      <c r="CA44" s="672"/>
      <c r="CB44" s="164"/>
      <c r="CD44" s="681"/>
      <c r="CE44" s="167"/>
      <c r="CG44" s="681"/>
    </row>
    <row r="45" spans="1:87" x14ac:dyDescent="0.25">
      <c r="A45" s="96">
        <v>37</v>
      </c>
      <c r="B45" s="96" t="str">
        <f t="shared" si="83"/>
        <v>Hea 01f</v>
      </c>
      <c r="C45" s="96" t="str">
        <f t="shared" si="19"/>
        <v>Hea 01</v>
      </c>
      <c r="D45" s="163" t="s">
        <v>910</v>
      </c>
      <c r="E45" s="1108" t="s">
        <v>608</v>
      </c>
      <c r="F45" s="939">
        <v>1</v>
      </c>
      <c r="G45" s="939">
        <v>1</v>
      </c>
      <c r="H45" s="1022">
        <v>0</v>
      </c>
      <c r="I45" s="939">
        <v>1</v>
      </c>
      <c r="J45" s="939">
        <v>1</v>
      </c>
      <c r="K45" s="939">
        <v>1</v>
      </c>
      <c r="L45" s="939">
        <v>1</v>
      </c>
      <c r="M45" s="939">
        <v>1</v>
      </c>
      <c r="N45" s="939">
        <v>1</v>
      </c>
      <c r="O45" s="939">
        <v>1</v>
      </c>
      <c r="P45" s="939">
        <v>1</v>
      </c>
      <c r="Q45" s="939">
        <v>1</v>
      </c>
      <c r="R45" s="939">
        <v>1</v>
      </c>
      <c r="T45" s="212">
        <f t="shared" si="66"/>
        <v>1</v>
      </c>
      <c r="U45" s="166"/>
      <c r="V45" s="167"/>
      <c r="W45" s="167"/>
      <c r="X45" s="168"/>
      <c r="Y45" s="169"/>
      <c r="Z45" s="1160">
        <f>VLOOKUP(B45,'Manuell filtrering og justering'!$A$7:$H$107,'Manuell filtrering og justering'!$H$1,FALSE)</f>
        <v>1</v>
      </c>
      <c r="AA45" s="169">
        <f t="shared" si="68"/>
        <v>0</v>
      </c>
      <c r="AB45" s="170">
        <f>IF($AC$5='Manuell filtrering og justering'!$J$2,Z45,(T45-AA45))</f>
        <v>1</v>
      </c>
      <c r="AD45" s="171">
        <f t="shared" si="69"/>
        <v>8.4210526315789472E-3</v>
      </c>
      <c r="AE45" s="171">
        <f t="shared" si="87"/>
        <v>0</v>
      </c>
      <c r="AF45" s="171">
        <f t="shared" si="88"/>
        <v>0</v>
      </c>
      <c r="AG45" s="171">
        <f t="shared" si="89"/>
        <v>0</v>
      </c>
      <c r="AI45" s="1068">
        <f>IF(AI$234=AD_no,0,IF(VLOOKUP(E45,'Pre-Assessment Estimator'!$E$11:$Z$225,'Pre-Assessment Estimator'!$G$2,FALSE)&gt;AB45,AB45,VLOOKUP(E45,'Pre-Assessment Estimator'!$E$11:$Z$225,'Pre-Assessment Estimator'!$G$2,FALSE)))</f>
        <v>0</v>
      </c>
      <c r="AJ45" s="1068">
        <f>IF($AJ$234=AD_no,0,IF(VLOOKUP(E45,'Pre-Assessment Estimator'!$E$11:$Z$225,'Pre-Assessment Estimator'!$N$2,FALSE)&gt;AB45,AB45,VLOOKUP(E45,'Pre-Assessment Estimator'!$E$11:$Z$225,'Pre-Assessment Estimator'!$N$2,FALSE)))</f>
        <v>0</v>
      </c>
      <c r="AK45" s="1068">
        <f>IF($AK$234=AD_no,0,IF(VLOOKUP(E45,'Pre-Assessment Estimator'!$E$11:$Z$225,'Pre-Assessment Estimator'!$U$2,FALSE)&gt;AB45,AB45,VLOOKUP(E45,'Pre-Assessment Estimator'!$E$11:$Z$225,'Pre-Assessment Estimator'!$U$2,FALSE)))</f>
        <v>0</v>
      </c>
      <c r="AM45" s="835"/>
      <c r="AN45" s="836"/>
      <c r="AO45" s="836"/>
      <c r="AP45" s="836"/>
      <c r="AQ45" s="837"/>
      <c r="AS45" s="835"/>
      <c r="AT45" s="836"/>
      <c r="AU45" s="836"/>
      <c r="AV45" s="836"/>
      <c r="AW45" s="837"/>
      <c r="AY45" s="708"/>
      <c r="AZ45" s="709"/>
      <c r="BA45" s="709"/>
      <c r="BB45" s="709"/>
      <c r="BC45" s="838"/>
      <c r="BD45" s="687">
        <f t="shared" si="84"/>
        <v>9</v>
      </c>
      <c r="BE45" s="164" t="str">
        <f t="shared" si="71"/>
        <v>N/A</v>
      </c>
      <c r="BF45" s="185"/>
      <c r="BG45" s="182">
        <f t="shared" si="85"/>
        <v>9</v>
      </c>
      <c r="BH45" s="164" t="str">
        <f t="shared" si="73"/>
        <v>N/A</v>
      </c>
      <c r="BI45" s="185"/>
      <c r="BJ45" s="182">
        <f t="shared" si="86"/>
        <v>9</v>
      </c>
      <c r="BK45" s="164" t="str">
        <f t="shared" si="74"/>
        <v>N/A</v>
      </c>
      <c r="BL45" s="830"/>
      <c r="BO45" s="167"/>
      <c r="BP45" s="167"/>
      <c r="BQ45" s="167" t="str">
        <f t="shared" si="15"/>
        <v/>
      </c>
      <c r="BR45" s="167">
        <f t="shared" si="55"/>
        <v>9</v>
      </c>
      <c r="BS45" s="167">
        <f t="shared" si="56"/>
        <v>9</v>
      </c>
      <c r="BT45" s="167">
        <f t="shared" si="57"/>
        <v>9</v>
      </c>
      <c r="BW45" s="674"/>
      <c r="BX45" s="164"/>
      <c r="BY45" s="674"/>
      <c r="BZ45" s="164"/>
      <c r="CA45" s="672"/>
      <c r="CB45" s="164"/>
      <c r="CD45" s="681"/>
      <c r="CE45" s="167"/>
      <c r="CG45" s="681"/>
    </row>
    <row r="46" spans="1:87" x14ac:dyDescent="0.25">
      <c r="A46" s="96">
        <v>38</v>
      </c>
      <c r="B46" s="137" t="str">
        <f>D46</f>
        <v>Hea 02</v>
      </c>
      <c r="C46" s="137" t="str">
        <f>B46</f>
        <v>Hea 02</v>
      </c>
      <c r="D46" s="834" t="s">
        <v>119</v>
      </c>
      <c r="E46" s="832" t="s">
        <v>113</v>
      </c>
      <c r="F46" s="933">
        <f t="shared" ref="F46:R46" si="90">SUM(F47:F50)</f>
        <v>4</v>
      </c>
      <c r="G46" s="933">
        <f t="shared" si="90"/>
        <v>4</v>
      </c>
      <c r="H46" s="933">
        <f t="shared" si="90"/>
        <v>4</v>
      </c>
      <c r="I46" s="933">
        <f t="shared" si="90"/>
        <v>4</v>
      </c>
      <c r="J46" s="933">
        <f t="shared" si="90"/>
        <v>4</v>
      </c>
      <c r="K46" s="933">
        <f t="shared" si="90"/>
        <v>4</v>
      </c>
      <c r="L46" s="933">
        <f t="shared" si="90"/>
        <v>4</v>
      </c>
      <c r="M46" s="933">
        <f t="shared" si="90"/>
        <v>4</v>
      </c>
      <c r="N46" s="933">
        <f t="shared" si="90"/>
        <v>4</v>
      </c>
      <c r="O46" s="933">
        <f t="shared" si="90"/>
        <v>4</v>
      </c>
      <c r="P46" s="933">
        <f t="shared" si="90"/>
        <v>4</v>
      </c>
      <c r="Q46" s="933">
        <f t="shared" ref="Q46" si="91">SUM(Q47:Q50)</f>
        <v>4</v>
      </c>
      <c r="R46" s="933">
        <f t="shared" si="90"/>
        <v>4</v>
      </c>
      <c r="T46" s="961">
        <f t="shared" si="66"/>
        <v>4</v>
      </c>
      <c r="U46" s="222">
        <f>U48+U49+U50</f>
        <v>0</v>
      </c>
      <c r="V46" s="230"/>
      <c r="W46" s="230"/>
      <c r="X46" s="1099">
        <f>'Manuell filtrering og justering'!E18</f>
        <v>0</v>
      </c>
      <c r="Y46" s="963"/>
      <c r="Z46" s="1179">
        <f t="shared" ref="Z46" si="92">SUM(Z47:Z50)</f>
        <v>4</v>
      </c>
      <c r="AA46" s="963">
        <f t="shared" si="68"/>
        <v>0</v>
      </c>
      <c r="AB46" s="1067">
        <f>SUM(AB47:AB50)</f>
        <v>4</v>
      </c>
      <c r="AD46" s="171">
        <f t="shared" si="69"/>
        <v>3.3684210526315789E-2</v>
      </c>
      <c r="AE46" s="921">
        <f>SUM(AE47:AE50)</f>
        <v>0</v>
      </c>
      <c r="AF46" s="921">
        <f t="shared" ref="AF46:AG46" si="93">SUM(AF47:AF50)</f>
        <v>0</v>
      </c>
      <c r="AG46" s="921">
        <f t="shared" si="93"/>
        <v>0</v>
      </c>
      <c r="AI46" s="958">
        <f t="shared" ref="AI46:AK46" si="94">SUM(AI47:AI50)</f>
        <v>0</v>
      </c>
      <c r="AJ46" s="958">
        <f t="shared" si="94"/>
        <v>0</v>
      </c>
      <c r="AK46" s="958">
        <f t="shared" si="94"/>
        <v>0</v>
      </c>
      <c r="AL46" s="96" t="s">
        <v>427</v>
      </c>
      <c r="AM46" s="291"/>
      <c r="AN46" s="181"/>
      <c r="AO46" s="304"/>
      <c r="AP46" s="293"/>
      <c r="AQ46" s="294"/>
      <c r="AS46" s="292"/>
      <c r="AT46" s="293"/>
      <c r="AU46" s="293"/>
      <c r="AV46" s="293"/>
      <c r="AW46" s="294"/>
      <c r="AY46" s="182"/>
      <c r="AZ46" s="183"/>
      <c r="BA46" s="183"/>
      <c r="BB46" s="183"/>
      <c r="BC46" s="176"/>
      <c r="BD46" s="687">
        <f>IF(BC46=0,9,IF((AI46-CG46)&gt;=BC46,5,IF((AI46-CG46)&gt;=BB46,4,IF((AI46-CG46)&gt;=BA46,3,IF((AI46-CG46)&gt;=AZ46,2,IF((AI46-CG46)&lt;AY46,0,1))))))</f>
        <v>9</v>
      </c>
      <c r="BE46" s="164" t="str">
        <f t="shared" si="71"/>
        <v>N/A</v>
      </c>
      <c r="BF46" s="185"/>
      <c r="BG46" s="182">
        <f>IF(BC46=0,9,IF((AJ46-CG46)&gt;=BC46,5,IF((AJ46-CG46)&gt;=BB46,4,IF((AJ46-CG46)&gt;=BA46,3,IF((AJ46-CG46)&gt;=AZ46,2,IF((AJ46-CG46)&lt;AY46,0,1))))))</f>
        <v>9</v>
      </c>
      <c r="BH46" s="164" t="str">
        <f t="shared" si="73"/>
        <v>N/A</v>
      </c>
      <c r="BI46" s="185"/>
      <c r="BJ46" s="182">
        <f>IF(BC46=0,9,IF((AK46-CG46)&gt;=BC46,5,IF((AK46-CG46)&gt;=BB46,4,IF((AK46-CG46)&gt;=BA46,3,IF((AK46-CG46)&gt;=AZ46,2,IF((AK46-CG46)&lt;AY46,0,1))))))</f>
        <v>9</v>
      </c>
      <c r="BK46" s="164" t="str">
        <f t="shared" si="74"/>
        <v>N/A</v>
      </c>
      <c r="BL46" s="185"/>
      <c r="BM46" s="96" t="s">
        <v>460</v>
      </c>
      <c r="BO46" s="167"/>
      <c r="BP46" s="167"/>
      <c r="BQ46" s="167" t="str">
        <f t="shared" si="15"/>
        <v/>
      </c>
      <c r="BR46" s="167">
        <f t="shared" si="55"/>
        <v>9</v>
      </c>
      <c r="BS46" s="167">
        <f t="shared" si="56"/>
        <v>9</v>
      </c>
      <c r="BT46" s="167">
        <f t="shared" si="57"/>
        <v>9</v>
      </c>
      <c r="BW46" s="167" t="str">
        <f>D46</f>
        <v>Hea 02</v>
      </c>
      <c r="BX46" s="167" t="str">
        <f>IFERROR(VLOOKUP($E46,'Pre-Assessment Estimator'!$E$11:$AB$225,'Pre-Assessment Estimator'!AB$2,FALSE),"")</f>
        <v>O2: VOC (AC 8-9: -1,0 c)</v>
      </c>
      <c r="BY46" s="230" t="str">
        <f>IFERROR(VLOOKUP($E46,'Pre-Assessment Estimator'!$E$11:$AI$225,'Pre-Assessment Estimator'!AI$2,FALSE),"")</f>
        <v>Ja</v>
      </c>
      <c r="BZ46" s="167">
        <f>IFERROR(VLOOKUP($BX46,$E$292:$H$325,F$290,FALSE),"")</f>
        <v>-1</v>
      </c>
      <c r="CA46" s="672" t="s">
        <v>430</v>
      </c>
      <c r="CB46" s="167">
        <f>H302</f>
        <v>5</v>
      </c>
      <c r="CC46" s="96" t="s">
        <v>431</v>
      </c>
      <c r="CD46" s="96" t="s">
        <v>438</v>
      </c>
      <c r="CE46" s="167">
        <f t="shared" si="75"/>
        <v>0</v>
      </c>
      <c r="CG46" s="681">
        <f>IF($BX$5=ais_nei,CE46,IF(AND(CA46=$CA$4,BX46=$CC$4),0,BZ46))</f>
        <v>0</v>
      </c>
      <c r="CI46" s="96" t="s">
        <v>405</v>
      </c>
    </row>
    <row r="47" spans="1:87" x14ac:dyDescent="0.25">
      <c r="A47" s="96">
        <v>39</v>
      </c>
      <c r="C47" s="96" t="str">
        <f t="shared" si="19"/>
        <v>Hea 02</v>
      </c>
      <c r="D47" s="163" t="s">
        <v>694</v>
      </c>
      <c r="E47" s="940" t="s">
        <v>609</v>
      </c>
      <c r="F47" s="767"/>
      <c r="G47" s="767"/>
      <c r="H47" s="767"/>
      <c r="I47" s="767"/>
      <c r="J47" s="767"/>
      <c r="K47" s="767"/>
      <c r="L47" s="767"/>
      <c r="M47" s="767"/>
      <c r="N47" s="767"/>
      <c r="O47" s="767"/>
      <c r="P47" s="767"/>
      <c r="Q47" s="767"/>
      <c r="R47" s="767"/>
      <c r="T47" s="212">
        <f t="shared" si="66"/>
        <v>0</v>
      </c>
      <c r="U47" s="166"/>
      <c r="V47" s="167"/>
      <c r="W47" s="167"/>
      <c r="X47" s="168"/>
      <c r="Y47" s="169"/>
      <c r="Z47" s="1160"/>
      <c r="AA47" s="169">
        <f t="shared" si="68"/>
        <v>0</v>
      </c>
      <c r="AB47" s="170">
        <f>IF($AC$5='Manuell filtrering og justering'!$J$2,Z47,(T47-AA47))</f>
        <v>0</v>
      </c>
      <c r="AD47" s="171">
        <f t="shared" si="69"/>
        <v>0</v>
      </c>
      <c r="AE47" s="171">
        <f t="shared" si="87"/>
        <v>0</v>
      </c>
      <c r="AF47" s="171">
        <f t="shared" si="88"/>
        <v>0</v>
      </c>
      <c r="AG47" s="171">
        <f t="shared" si="89"/>
        <v>0</v>
      </c>
      <c r="AI47" s="172">
        <f>IF(VLOOKUP(E47,'Pre-Assessment Estimator'!$E$11:$Z$225,'Pre-Assessment Estimator'!$G$2,FALSE)&gt;AB47,AB47,VLOOKUP(E47,'Pre-Assessment Estimator'!$E$11:$Z$225,'Pre-Assessment Estimator'!$G$2,FALSE))</f>
        <v>0</v>
      </c>
      <c r="AJ47" s="172">
        <f>IF(VLOOKUP(E47,'Pre-Assessment Estimator'!$E$11:$Z$225,'Pre-Assessment Estimator'!$N$2,FALSE)&gt;AB47,AB47,VLOOKUP(E47,'Pre-Assessment Estimator'!$E$11:$Z$225,'Pre-Assessment Estimator'!$N$2,FALSE))</f>
        <v>0</v>
      </c>
      <c r="AK47" s="172">
        <f>IF(VLOOKUP(E47,'Pre-Assessment Estimator'!$E$11:$Z$225,'Pre-Assessment Estimator'!$U$2,FALSE)&gt;AB47,AB47,VLOOKUP(E47,'Pre-Assessment Estimator'!$E$11:$Z$225,'Pre-Assessment Estimator'!$U$2,FALSE))</f>
        <v>0</v>
      </c>
      <c r="AM47" s="291"/>
      <c r="AN47" s="181"/>
      <c r="AO47" s="304"/>
      <c r="AP47" s="293"/>
      <c r="AQ47" s="294"/>
      <c r="AS47" s="292"/>
      <c r="AT47" s="293"/>
      <c r="AU47" s="293"/>
      <c r="AV47" s="293"/>
      <c r="AW47" s="294"/>
      <c r="AY47" s="182"/>
      <c r="AZ47" s="183"/>
      <c r="BA47" s="183"/>
      <c r="BB47" s="183"/>
      <c r="BC47" s="176"/>
      <c r="BD47" s="687">
        <f t="shared" ref="BD47:BD64" si="95">IF(BC47=0,9,IF((AI47-CG47)&gt;=BC47,5,IF((AI47-CG47)&gt;=BB47,4,IF((AI47-CG47)&gt;=BA47,3,IF((AI47-CG47)&gt;=AZ47,2,IF((AI47-CG47)&lt;AY47,0,1))))))</f>
        <v>9</v>
      </c>
      <c r="BE47" s="164" t="str">
        <f t="shared" si="71"/>
        <v>N/A</v>
      </c>
      <c r="BF47" s="185"/>
      <c r="BG47" s="182">
        <f t="shared" ref="BG47:BG64" si="96">IF(BC47=0,9,IF((AJ47-CG47)&gt;=BC47,5,IF((AJ47-CG47)&gt;=BB47,4,IF((AJ47-CG47)&gt;=BA47,3,IF((AJ47-CG47)&gt;=AZ47,2,IF((AJ47-CG47)&lt;AY47,0,1))))))</f>
        <v>9</v>
      </c>
      <c r="BH47" s="164" t="str">
        <f t="shared" si="73"/>
        <v>N/A</v>
      </c>
      <c r="BI47" s="185"/>
      <c r="BJ47" s="182">
        <f t="shared" ref="BJ47:BJ64" si="97">IF(BC47=0,9,IF((AK47-CG47)&gt;=BC47,5,IF((AK47-CG47)&gt;=BB47,4,IF((AK47-CG47)&gt;=BA47,3,IF((AK47-CG47)&gt;=AZ47,2,IF((AK47-CG47)&lt;AY47,0,1))))))</f>
        <v>9</v>
      </c>
      <c r="BK47" s="164" t="str">
        <f t="shared" si="74"/>
        <v>N/A</v>
      </c>
      <c r="BL47" s="185"/>
      <c r="BO47" s="167"/>
      <c r="BP47" s="167"/>
      <c r="BQ47" s="167" t="str">
        <f t="shared" si="15"/>
        <v/>
      </c>
      <c r="BR47" s="167">
        <f t="shared" si="55"/>
        <v>9</v>
      </c>
      <c r="BS47" s="167">
        <f t="shared" si="56"/>
        <v>9</v>
      </c>
      <c r="BT47" s="167">
        <f t="shared" si="57"/>
        <v>9</v>
      </c>
      <c r="BW47" s="167"/>
      <c r="BX47" s="167"/>
      <c r="BY47" s="230"/>
      <c r="BZ47" s="167"/>
      <c r="CA47" s="839"/>
      <c r="CB47" s="167"/>
      <c r="CE47" s="167"/>
      <c r="CG47" s="681"/>
    </row>
    <row r="48" spans="1:87" x14ac:dyDescent="0.25">
      <c r="A48" s="96">
        <v>40</v>
      </c>
      <c r="B48" s="96" t="str">
        <f t="shared" ref="B48:B50" si="98">$D$46&amp;D48</f>
        <v>Hea 02b</v>
      </c>
      <c r="C48" s="96" t="str">
        <f t="shared" si="19"/>
        <v>Hea 02</v>
      </c>
      <c r="D48" s="163" t="s">
        <v>697</v>
      </c>
      <c r="E48" s="1108" t="s">
        <v>610</v>
      </c>
      <c r="F48" s="775">
        <v>1</v>
      </c>
      <c r="G48" s="775">
        <v>1</v>
      </c>
      <c r="H48" s="775">
        <v>1</v>
      </c>
      <c r="I48" s="775">
        <v>1</v>
      </c>
      <c r="J48" s="775">
        <v>1</v>
      </c>
      <c r="K48" s="775">
        <v>1</v>
      </c>
      <c r="L48" s="775">
        <v>1</v>
      </c>
      <c r="M48" s="775">
        <v>1</v>
      </c>
      <c r="N48" s="775">
        <v>1</v>
      </c>
      <c r="O48" s="775">
        <v>1</v>
      </c>
      <c r="P48" s="775">
        <v>1</v>
      </c>
      <c r="Q48" s="775">
        <v>1</v>
      </c>
      <c r="R48" s="775">
        <v>1</v>
      </c>
      <c r="T48" s="212">
        <f t="shared" si="66"/>
        <v>1</v>
      </c>
      <c r="U48" s="222">
        <f>IF(AND(ADBT0=ADBT1,ADIND_option03=AD_no),Poeng!T48,0)</f>
        <v>0</v>
      </c>
      <c r="V48" s="167"/>
      <c r="W48" s="167"/>
      <c r="X48" s="168"/>
      <c r="Y48" s="169"/>
      <c r="Z48" s="1160">
        <f>VLOOKUP(B48,'Manuell filtrering og justering'!$A$7:$H$107,'Manuell filtrering og justering'!$H$1,FALSE)</f>
        <v>1</v>
      </c>
      <c r="AA48" s="169">
        <f t="shared" si="68"/>
        <v>0</v>
      </c>
      <c r="AB48" s="170">
        <f>IF($AC$5='Manuell filtrering og justering'!$J$2,Z48,(T48-AA48))</f>
        <v>1</v>
      </c>
      <c r="AD48" s="171">
        <f t="shared" si="69"/>
        <v>8.4210526315789472E-3</v>
      </c>
      <c r="AE48" s="171">
        <f t="shared" si="87"/>
        <v>0</v>
      </c>
      <c r="AF48" s="171">
        <f t="shared" si="88"/>
        <v>0</v>
      </c>
      <c r="AG48" s="171">
        <f t="shared" si="89"/>
        <v>0</v>
      </c>
      <c r="AI48" s="1068">
        <f>IF(OR(AI236=AD_no,AI142=0),0,IF(VLOOKUP(E48,'Pre-Assessment Estimator'!$E$11:$Z$225,'Pre-Assessment Estimator'!$G$2,FALSE)&gt;AB48,AB48,VLOOKUP(E48,'Pre-Assessment Estimator'!$E$11:$Z$225,'Pre-Assessment Estimator'!$G$2,FALSE)))</f>
        <v>0</v>
      </c>
      <c r="AJ48" s="1068">
        <f>IF(OR(AJ236=AD_no,AJ142=0),0,IF(VLOOKUP(E48,'Pre-Assessment Estimator'!$E$11:$Z$225,'Pre-Assessment Estimator'!$N$2,FALSE)&gt;AB48,AB48,VLOOKUP(E48,'Pre-Assessment Estimator'!$E$11:$Z$225,'Pre-Assessment Estimator'!$N$2,FALSE)))</f>
        <v>0</v>
      </c>
      <c r="AK48" s="1068">
        <f>IF(OR(AK236=AD_no,AK142=0),0,IF(VLOOKUP(E48,'Pre-Assessment Estimator'!$E$11:$Z$225,'Pre-Assessment Estimator'!$U$2,FALSE)&gt;AB48,AB48,VLOOKUP(E48,'Pre-Assessment Estimator'!$E$11:$Z$225,'Pre-Assessment Estimator'!$U$2,FALSE)))</f>
        <v>0</v>
      </c>
      <c r="AM48" s="291"/>
      <c r="AN48" s="181"/>
      <c r="AO48" s="304"/>
      <c r="AP48" s="293"/>
      <c r="AQ48" s="294"/>
      <c r="AS48" s="292"/>
      <c r="AT48" s="293"/>
      <c r="AU48" s="293"/>
      <c r="AV48" s="293"/>
      <c r="AW48" s="294"/>
      <c r="AY48" s="182"/>
      <c r="AZ48" s="183"/>
      <c r="BA48" s="183"/>
      <c r="BB48" s="183"/>
      <c r="BC48" s="176"/>
      <c r="BD48" s="687">
        <f t="shared" si="95"/>
        <v>9</v>
      </c>
      <c r="BE48" s="164" t="str">
        <f t="shared" si="71"/>
        <v>N/A</v>
      </c>
      <c r="BF48" s="185"/>
      <c r="BG48" s="182">
        <f t="shared" si="96"/>
        <v>9</v>
      </c>
      <c r="BH48" s="164" t="str">
        <f t="shared" si="73"/>
        <v>N/A</v>
      </c>
      <c r="BI48" s="185"/>
      <c r="BJ48" s="182">
        <f t="shared" si="97"/>
        <v>9</v>
      </c>
      <c r="BK48" s="164" t="str">
        <f t="shared" si="74"/>
        <v>N/A</v>
      </c>
      <c r="BL48" s="185"/>
      <c r="BO48" s="167"/>
      <c r="BP48" s="167"/>
      <c r="BQ48" s="167" t="str">
        <f t="shared" si="15"/>
        <v/>
      </c>
      <c r="BR48" s="167">
        <f t="shared" si="55"/>
        <v>9</v>
      </c>
      <c r="BS48" s="167">
        <f t="shared" si="56"/>
        <v>9</v>
      </c>
      <c r="BT48" s="167">
        <f t="shared" si="57"/>
        <v>9</v>
      </c>
      <c r="BW48" s="167"/>
      <c r="BX48" s="167"/>
      <c r="BY48" s="230"/>
      <c r="BZ48" s="167"/>
      <c r="CA48" s="839"/>
      <c r="CB48" s="167"/>
      <c r="CE48" s="167"/>
      <c r="CG48" s="681"/>
    </row>
    <row r="49" spans="1:85" x14ac:dyDescent="0.25">
      <c r="A49" s="96">
        <v>41</v>
      </c>
      <c r="B49" s="96" t="str">
        <f t="shared" si="98"/>
        <v>Hea 02c</v>
      </c>
      <c r="C49" s="96" t="str">
        <f t="shared" si="19"/>
        <v>Hea 02</v>
      </c>
      <c r="D49" s="166" t="s">
        <v>698</v>
      </c>
      <c r="E49" s="1250" t="s">
        <v>1060</v>
      </c>
      <c r="F49" s="775">
        <v>2</v>
      </c>
      <c r="G49" s="775">
        <v>2</v>
      </c>
      <c r="H49" s="775">
        <v>2</v>
      </c>
      <c r="I49" s="775">
        <v>2</v>
      </c>
      <c r="J49" s="775">
        <v>2</v>
      </c>
      <c r="K49" s="775">
        <v>2</v>
      </c>
      <c r="L49" s="775">
        <v>2</v>
      </c>
      <c r="M49" s="775">
        <v>2</v>
      </c>
      <c r="N49" s="775">
        <v>2</v>
      </c>
      <c r="O49" s="775">
        <v>2</v>
      </c>
      <c r="P49" s="775">
        <v>2</v>
      </c>
      <c r="Q49" s="775">
        <v>2</v>
      </c>
      <c r="R49" s="775">
        <v>2</v>
      </c>
      <c r="T49" s="212">
        <f t="shared" si="66"/>
        <v>2</v>
      </c>
      <c r="U49" s="222">
        <f>IF(AND(ADBT0=ADBT1,ADIND_option03=AD_no),Poeng!T49,0)</f>
        <v>0</v>
      </c>
      <c r="V49" s="167"/>
      <c r="W49" s="167"/>
      <c r="X49" s="168"/>
      <c r="Y49" s="169">
        <f>IF($Y$4=$Y$6,1,0)</f>
        <v>0</v>
      </c>
      <c r="Z49" s="1160">
        <f>VLOOKUP(B49,'Manuell filtrering og justering'!$A$7:$H$107,'Manuell filtrering og justering'!$H$1,FALSE)</f>
        <v>2</v>
      </c>
      <c r="AA49" s="169">
        <f t="shared" si="68"/>
        <v>0</v>
      </c>
      <c r="AB49" s="170">
        <f>IF($AC$5='Manuell filtrering og justering'!$J$2,Z49,(T49-AA49))</f>
        <v>2</v>
      </c>
      <c r="AD49" s="171">
        <f t="shared" si="69"/>
        <v>1.6842105263157894E-2</v>
      </c>
      <c r="AE49" s="171">
        <f t="shared" si="87"/>
        <v>0</v>
      </c>
      <c r="AF49" s="171">
        <f t="shared" si="88"/>
        <v>0</v>
      </c>
      <c r="AG49" s="171">
        <f t="shared" si="89"/>
        <v>0</v>
      </c>
      <c r="AI49" s="1068">
        <f>IF(OR(AI236=AD_no,AI142=0),0,IF(VLOOKUP(E49,'Pre-Assessment Estimator'!$E$11:$Z$225,'Pre-Assessment Estimator'!$G$2,FALSE)&gt;AB49,AB49,VLOOKUP(E49,'Pre-Assessment Estimator'!$E$11:$Z$225,'Pre-Assessment Estimator'!$G$2,FALSE)))</f>
        <v>0</v>
      </c>
      <c r="AJ49" s="1068">
        <f>IF(OR(AJ236=AD_no,AJ142=0),0,IF(VLOOKUP(E49,'Pre-Assessment Estimator'!$E$11:$Z$225,'Pre-Assessment Estimator'!$N$2,FALSE)&gt;AB49,AB49,VLOOKUP(E49,'Pre-Assessment Estimator'!$E$11:$Z$225,'Pre-Assessment Estimator'!$N$2,FALSE)))</f>
        <v>0</v>
      </c>
      <c r="AK49" s="1068">
        <f>IF(OR(AK236=AD_no,AK142=0),0,IF(VLOOKUP(E49,'Pre-Assessment Estimator'!$E$11:$Z$225,'Pre-Assessment Estimator'!$U$2,FALSE)&gt;AB49,AB49,VLOOKUP(E49,'Pre-Assessment Estimator'!$E$11:$Z$225,'Pre-Assessment Estimator'!$U$2,FALSE)))</f>
        <v>0</v>
      </c>
      <c r="AM49" s="291"/>
      <c r="AN49" s="181"/>
      <c r="AO49" s="304"/>
      <c r="AP49" s="1191">
        <f>IF(AND(Y4=Y3,AB49=0),0,IF(AND($Y$4&lt;&gt;$Y$3,Y49&gt;0),0,1))</f>
        <v>1</v>
      </c>
      <c r="AQ49" s="1193">
        <f>IF(AND(Y4=Y3,AB49=0),0,IF(AND($Y$4&lt;&gt;$Y$3,Y49&gt;0),0,2))</f>
        <v>2</v>
      </c>
      <c r="AR49" s="137"/>
      <c r="AS49" s="976"/>
      <c r="AT49" s="974"/>
      <c r="AU49" s="974"/>
      <c r="AV49" s="974">
        <v>1</v>
      </c>
      <c r="AW49" s="975">
        <v>2</v>
      </c>
      <c r="AY49" s="182"/>
      <c r="AZ49" s="183"/>
      <c r="BA49" s="183"/>
      <c r="BB49" s="183">
        <f>IF($E$6=$H$9,AV49,AP49)</f>
        <v>1</v>
      </c>
      <c r="BC49" s="176">
        <f>IF($E$6=$H$9,AW49,AQ49)</f>
        <v>2</v>
      </c>
      <c r="BD49" s="687">
        <f t="shared" si="95"/>
        <v>3</v>
      </c>
      <c r="BE49" s="164" t="str">
        <f t="shared" si="71"/>
        <v>Very Good</v>
      </c>
      <c r="BF49" s="185"/>
      <c r="BG49" s="182">
        <f t="shared" si="96"/>
        <v>3</v>
      </c>
      <c r="BH49" s="164" t="str">
        <f t="shared" si="73"/>
        <v>Very Good</v>
      </c>
      <c r="BI49" s="185"/>
      <c r="BJ49" s="182">
        <f t="shared" si="97"/>
        <v>3</v>
      </c>
      <c r="BK49" s="164" t="str">
        <f t="shared" si="74"/>
        <v>Very Good</v>
      </c>
      <c r="BL49" s="185"/>
      <c r="BO49" s="167"/>
      <c r="BP49" s="167">
        <v>2</v>
      </c>
      <c r="BQ49" s="167">
        <f t="shared" si="15"/>
        <v>2</v>
      </c>
      <c r="BR49" s="167">
        <f t="shared" si="55"/>
        <v>0</v>
      </c>
      <c r="BS49" s="167">
        <f t="shared" si="56"/>
        <v>0</v>
      </c>
      <c r="BT49" s="167">
        <f t="shared" si="57"/>
        <v>0</v>
      </c>
      <c r="BW49" s="167"/>
      <c r="BX49" s="167"/>
      <c r="BY49" s="230"/>
      <c r="BZ49" s="167"/>
      <c r="CA49" s="839"/>
      <c r="CB49" s="167"/>
      <c r="CE49" s="167"/>
      <c r="CG49" s="681"/>
    </row>
    <row r="50" spans="1:85" x14ac:dyDescent="0.25">
      <c r="A50" s="96">
        <v>42</v>
      </c>
      <c r="B50" s="96" t="str">
        <f t="shared" si="98"/>
        <v>Hea 02d</v>
      </c>
      <c r="C50" s="96" t="str">
        <f t="shared" si="19"/>
        <v>Hea 02</v>
      </c>
      <c r="D50" s="166" t="s">
        <v>696</v>
      </c>
      <c r="E50" s="1108" t="s">
        <v>612</v>
      </c>
      <c r="F50" s="775">
        <v>1</v>
      </c>
      <c r="G50" s="775">
        <v>1</v>
      </c>
      <c r="H50" s="775">
        <v>1</v>
      </c>
      <c r="I50" s="775">
        <v>1</v>
      </c>
      <c r="J50" s="775">
        <v>1</v>
      </c>
      <c r="K50" s="775">
        <v>1</v>
      </c>
      <c r="L50" s="775">
        <v>1</v>
      </c>
      <c r="M50" s="775">
        <v>1</v>
      </c>
      <c r="N50" s="775">
        <v>1</v>
      </c>
      <c r="O50" s="775">
        <v>1</v>
      </c>
      <c r="P50" s="775">
        <v>1</v>
      </c>
      <c r="Q50" s="775">
        <v>1</v>
      </c>
      <c r="R50" s="775">
        <v>1</v>
      </c>
      <c r="T50" s="212">
        <f t="shared" si="66"/>
        <v>1</v>
      </c>
      <c r="U50" s="222">
        <f>IF(AND(ADBT0=ADBT1,ADIND_option03=AD_no),Poeng!T50,0)</f>
        <v>0</v>
      </c>
      <c r="V50" s="167"/>
      <c r="W50" s="167"/>
      <c r="X50" s="168"/>
      <c r="Y50" s="169">
        <f>IF(OR($Y$4=$Y$5,$Y$4=$Y$6),T50,0)</f>
        <v>0</v>
      </c>
      <c r="Z50" s="1160">
        <f>VLOOKUP(B50,'Manuell filtrering og justering'!$A$7:$H$107,'Manuell filtrering og justering'!$H$1,FALSE)</f>
        <v>1</v>
      </c>
      <c r="AA50" s="169">
        <f t="shared" si="68"/>
        <v>0</v>
      </c>
      <c r="AB50" s="170">
        <f>IF($AC$5='Manuell filtrering og justering'!$J$2,Z50,(T50-AA50))</f>
        <v>1</v>
      </c>
      <c r="AD50" s="171">
        <f t="shared" si="69"/>
        <v>8.4210526315789472E-3</v>
      </c>
      <c r="AE50" s="171">
        <f t="shared" si="87"/>
        <v>0</v>
      </c>
      <c r="AF50" s="171">
        <f t="shared" si="88"/>
        <v>0</v>
      </c>
      <c r="AG50" s="171">
        <f t="shared" si="89"/>
        <v>0</v>
      </c>
      <c r="AI50" s="1068">
        <f>IF(OR(AI236=AD_no,AI142=0),0,IF(VLOOKUP(E50,'Pre-Assessment Estimator'!$E$11:$Z$225,'Pre-Assessment Estimator'!$G$2,FALSE)&gt;AB50,AB50,VLOOKUP(E50,'Pre-Assessment Estimator'!$E$11:$Z$225,'Pre-Assessment Estimator'!$G$2,FALSE)))</f>
        <v>0</v>
      </c>
      <c r="AJ50" s="1068">
        <f>IF(OR(AJ236=AD_no,AJ142=0),0,IF(VLOOKUP(E50,'Pre-Assessment Estimator'!$E$11:$Z$225,'Pre-Assessment Estimator'!$N$2,FALSE)&gt;AB50,AB50,VLOOKUP(E50,'Pre-Assessment Estimator'!$E$11:$Z$225,'Pre-Assessment Estimator'!$N$2,FALSE)))</f>
        <v>0</v>
      </c>
      <c r="AK50" s="1068">
        <f>IF(OR(AK236=AD_no,AK142=0),0,IF(VLOOKUP(E50,'Pre-Assessment Estimator'!$E$11:$Z$225,'Pre-Assessment Estimator'!$U$2,FALSE)&gt;AB50,AB50,VLOOKUP(E50,'Pre-Assessment Estimator'!$E$11:$Z$225,'Pre-Assessment Estimator'!$U$2,FALSE)))</f>
        <v>0</v>
      </c>
      <c r="AM50" s="291"/>
      <c r="AN50" s="181"/>
      <c r="AO50" s="304"/>
      <c r="AP50" s="293"/>
      <c r="AQ50" s="294"/>
      <c r="AS50" s="292"/>
      <c r="AT50" s="293"/>
      <c r="AU50" s="293"/>
      <c r="AV50" s="293"/>
      <c r="AW50" s="294"/>
      <c r="AY50" s="182"/>
      <c r="AZ50" s="183"/>
      <c r="BA50" s="183"/>
      <c r="BB50" s="183"/>
      <c r="BC50" s="176"/>
      <c r="BD50" s="687">
        <f t="shared" si="95"/>
        <v>9</v>
      </c>
      <c r="BE50" s="164" t="str">
        <f t="shared" si="71"/>
        <v>N/A</v>
      </c>
      <c r="BF50" s="185"/>
      <c r="BG50" s="182">
        <f t="shared" si="96"/>
        <v>9</v>
      </c>
      <c r="BH50" s="164" t="str">
        <f t="shared" si="73"/>
        <v>N/A</v>
      </c>
      <c r="BI50" s="185"/>
      <c r="BJ50" s="182">
        <f t="shared" si="97"/>
        <v>9</v>
      </c>
      <c r="BK50" s="164" t="str">
        <f t="shared" si="74"/>
        <v>N/A</v>
      </c>
      <c r="BL50" s="185"/>
      <c r="BO50" s="167"/>
      <c r="BP50" s="167"/>
      <c r="BQ50" s="167" t="str">
        <f t="shared" si="15"/>
        <v/>
      </c>
      <c r="BR50" s="167">
        <f t="shared" si="55"/>
        <v>9</v>
      </c>
      <c r="BS50" s="167">
        <f t="shared" si="56"/>
        <v>9</v>
      </c>
      <c r="BT50" s="167">
        <f t="shared" si="57"/>
        <v>9</v>
      </c>
      <c r="BW50" s="167"/>
      <c r="BX50" s="167"/>
      <c r="BY50" s="230"/>
      <c r="BZ50" s="167"/>
      <c r="CA50" s="839"/>
      <c r="CB50" s="167"/>
      <c r="CE50" s="167"/>
      <c r="CG50" s="681"/>
    </row>
    <row r="51" spans="1:85" x14ac:dyDescent="0.25">
      <c r="A51" s="96">
        <v>43</v>
      </c>
      <c r="B51" s="137" t="str">
        <f>D51</f>
        <v>Hea 03</v>
      </c>
      <c r="C51" s="137" t="str">
        <f>B51</f>
        <v>Hea 03</v>
      </c>
      <c r="D51" s="834" t="s">
        <v>120</v>
      </c>
      <c r="E51" s="832" t="s">
        <v>114</v>
      </c>
      <c r="F51" s="933">
        <f t="shared" ref="F51:R51" si="99">SUM(F52:F54)</f>
        <v>3</v>
      </c>
      <c r="G51" s="933">
        <f t="shared" si="99"/>
        <v>3</v>
      </c>
      <c r="H51" s="933">
        <f t="shared" si="99"/>
        <v>3</v>
      </c>
      <c r="I51" s="933">
        <f t="shared" si="99"/>
        <v>3</v>
      </c>
      <c r="J51" s="933">
        <f t="shared" si="99"/>
        <v>3</v>
      </c>
      <c r="K51" s="933">
        <f t="shared" si="99"/>
        <v>3</v>
      </c>
      <c r="L51" s="933">
        <f t="shared" si="99"/>
        <v>3</v>
      </c>
      <c r="M51" s="933">
        <f t="shared" si="99"/>
        <v>3</v>
      </c>
      <c r="N51" s="933">
        <f t="shared" si="99"/>
        <v>3</v>
      </c>
      <c r="O51" s="933">
        <f t="shared" si="99"/>
        <v>3</v>
      </c>
      <c r="P51" s="933">
        <f t="shared" si="99"/>
        <v>3</v>
      </c>
      <c r="Q51" s="933">
        <f t="shared" ref="Q51" si="100">SUM(Q52:Q54)</f>
        <v>3</v>
      </c>
      <c r="R51" s="933">
        <f t="shared" si="99"/>
        <v>3</v>
      </c>
      <c r="T51" s="961">
        <f t="shared" si="66"/>
        <v>3</v>
      </c>
      <c r="U51" s="222">
        <f>U52+U53+U54</f>
        <v>0</v>
      </c>
      <c r="V51" s="230"/>
      <c r="W51" s="230"/>
      <c r="X51" s="1099">
        <f>'Manuell filtrering og justering'!E19</f>
        <v>0</v>
      </c>
      <c r="Y51" s="963"/>
      <c r="Z51" s="1179">
        <f t="shared" ref="Z51" si="101">SUM(Z52:Z54)</f>
        <v>3</v>
      </c>
      <c r="AA51" s="963">
        <f t="shared" si="68"/>
        <v>0</v>
      </c>
      <c r="AB51" s="1067">
        <f>SUM(AB52:AB54)</f>
        <v>3</v>
      </c>
      <c r="AD51" s="171">
        <f t="shared" si="69"/>
        <v>2.5263157894736842E-2</v>
      </c>
      <c r="AE51" s="921">
        <f>SUM(AE52:AE54)</f>
        <v>0</v>
      </c>
      <c r="AF51" s="921">
        <f t="shared" ref="AF51:AG51" si="102">SUM(AF52:AF54)</f>
        <v>0</v>
      </c>
      <c r="AG51" s="921">
        <f t="shared" si="102"/>
        <v>0</v>
      </c>
      <c r="AI51" s="958">
        <f t="shared" ref="AI51:AK51" si="103">SUM(AI52:AI54)</f>
        <v>0</v>
      </c>
      <c r="AJ51" s="958">
        <f t="shared" si="103"/>
        <v>0</v>
      </c>
      <c r="AK51" s="958">
        <f t="shared" si="103"/>
        <v>0</v>
      </c>
      <c r="AL51" s="96" t="s">
        <v>427</v>
      </c>
      <c r="AM51" s="292"/>
      <c r="AN51" s="293"/>
      <c r="AO51" s="293"/>
      <c r="AP51" s="293"/>
      <c r="AQ51" s="294"/>
      <c r="AS51" s="292"/>
      <c r="AT51" s="293"/>
      <c r="AU51" s="293"/>
      <c r="AV51" s="293"/>
      <c r="AW51" s="294"/>
      <c r="AY51" s="188"/>
      <c r="AZ51" s="189"/>
      <c r="BA51" s="189"/>
      <c r="BB51" s="189"/>
      <c r="BC51" s="190"/>
      <c r="BD51" s="687">
        <f t="shared" si="95"/>
        <v>9</v>
      </c>
      <c r="BE51" s="164" t="str">
        <f t="shared" si="71"/>
        <v>N/A</v>
      </c>
      <c r="BF51" s="185"/>
      <c r="BG51" s="182">
        <f t="shared" si="96"/>
        <v>9</v>
      </c>
      <c r="BH51" s="164" t="str">
        <f t="shared" si="73"/>
        <v>N/A</v>
      </c>
      <c r="BI51" s="185"/>
      <c r="BJ51" s="182">
        <f t="shared" si="97"/>
        <v>9</v>
      </c>
      <c r="BK51" s="164" t="str">
        <f t="shared" si="74"/>
        <v>N/A</v>
      </c>
      <c r="BL51" s="185"/>
      <c r="BO51" s="167"/>
      <c r="BP51" s="167"/>
      <c r="BQ51" s="167" t="str">
        <f t="shared" si="15"/>
        <v/>
      </c>
      <c r="BR51" s="167">
        <f t="shared" si="55"/>
        <v>9</v>
      </c>
      <c r="BS51" s="167">
        <f t="shared" si="56"/>
        <v>9</v>
      </c>
      <c r="BT51" s="167">
        <f t="shared" si="57"/>
        <v>9</v>
      </c>
      <c r="BW51" s="167" t="str">
        <f>D51</f>
        <v>Hea 03</v>
      </c>
      <c r="BX51" s="167" t="str">
        <f>IFERROR(VLOOKUP($E51,'Pre-Assessment Estimator'!$E$11:$AB$225,'Pre-Assessment Estimator'!AB$2,FALSE),"")</f>
        <v>No</v>
      </c>
      <c r="BY51" s="230" t="str">
        <f>IFERROR(VLOOKUP($E51,'Pre-Assessment Estimator'!$E$11:$AI$225,'Pre-Assessment Estimator'!AI$2,FALSE),"")</f>
        <v>Ja</v>
      </c>
      <c r="BZ51" s="167">
        <f>IFERROR(VLOOKUP($BX51,$E$292:$H$325,F$290,FALSE),"")</f>
        <v>1</v>
      </c>
      <c r="CA51" s="680" t="s">
        <v>432</v>
      </c>
      <c r="CB51" s="167"/>
      <c r="CC51" s="96" t="str">
        <f>IFERROR(VLOOKUP($BX51,$E$292:$H$325,I$290,FALSE),"")</f>
        <v/>
      </c>
      <c r="CD51" s="96" t="s">
        <v>438</v>
      </c>
      <c r="CE51" s="167">
        <f t="shared" si="75"/>
        <v>1</v>
      </c>
      <c r="CG51" s="681">
        <f>IF($BX$5=ais_nei,CE51,IF(AND(CA51=$CA$4,BX51=$CC$4),0,BZ51))</f>
        <v>1</v>
      </c>
    </row>
    <row r="52" spans="1:85" x14ac:dyDescent="0.25">
      <c r="A52" s="96">
        <v>44</v>
      </c>
      <c r="B52" s="96" t="str">
        <f t="shared" ref="B52:B54" si="104">$D$51&amp;D52</f>
        <v>Hea 03a</v>
      </c>
      <c r="C52" s="96" t="str">
        <f t="shared" si="19"/>
        <v>Hea 03</v>
      </c>
      <c r="D52" s="163" t="s">
        <v>694</v>
      </c>
      <c r="E52" s="1108" t="s">
        <v>613</v>
      </c>
      <c r="F52" s="775">
        <v>1</v>
      </c>
      <c r="G52" s="775">
        <v>1</v>
      </c>
      <c r="H52" s="775">
        <v>1</v>
      </c>
      <c r="I52" s="775">
        <v>1</v>
      </c>
      <c r="J52" s="775">
        <v>1</v>
      </c>
      <c r="K52" s="775">
        <v>1</v>
      </c>
      <c r="L52" s="775">
        <v>1</v>
      </c>
      <c r="M52" s="775">
        <v>1</v>
      </c>
      <c r="N52" s="775">
        <v>1</v>
      </c>
      <c r="O52" s="775">
        <v>1</v>
      </c>
      <c r="P52" s="775">
        <v>1</v>
      </c>
      <c r="Q52" s="775">
        <v>1</v>
      </c>
      <c r="R52" s="775">
        <v>1</v>
      </c>
      <c r="T52" s="212">
        <f t="shared" si="66"/>
        <v>1</v>
      </c>
      <c r="U52" s="222">
        <f>IF(AND(ADBT0=ADBT1,ADIND_option03=AD_no),Poeng!T52,0)</f>
        <v>0</v>
      </c>
      <c r="V52" s="167"/>
      <c r="W52" s="167"/>
      <c r="X52" s="168"/>
      <c r="Y52" s="169">
        <f>IF($Y$4=$Y$6,T52,0)</f>
        <v>0</v>
      </c>
      <c r="Z52" s="1160">
        <f>VLOOKUP(B52,'Manuell filtrering og justering'!$A$7:$H$107,'Manuell filtrering og justering'!$H$1,FALSE)</f>
        <v>1</v>
      </c>
      <c r="AA52" s="169">
        <f t="shared" si="68"/>
        <v>0</v>
      </c>
      <c r="AB52" s="170">
        <f>IF($AC$5='Manuell filtrering og justering'!$J$2,Z52,(T52-AA52))</f>
        <v>1</v>
      </c>
      <c r="AD52" s="171">
        <f t="shared" si="69"/>
        <v>8.4210526315789472E-3</v>
      </c>
      <c r="AE52" s="171">
        <f t="shared" si="87"/>
        <v>0</v>
      </c>
      <c r="AF52" s="171">
        <f t="shared" si="88"/>
        <v>0</v>
      </c>
      <c r="AG52" s="171">
        <f t="shared" si="89"/>
        <v>0</v>
      </c>
      <c r="AI52" s="172">
        <f>IF(VLOOKUP(E52,'Pre-Assessment Estimator'!$E$11:$Z$225,'Pre-Assessment Estimator'!$G$2,FALSE)&gt;AB52,AB52,VLOOKUP(E52,'Pre-Assessment Estimator'!$E$11:$Z$225,'Pre-Assessment Estimator'!$G$2,FALSE))</f>
        <v>0</v>
      </c>
      <c r="AJ52" s="172">
        <f>IF(VLOOKUP(E52,'Pre-Assessment Estimator'!$E$11:$Z$225,'Pre-Assessment Estimator'!$N$2,FALSE)&gt;AB52,AB52,VLOOKUP(E52,'Pre-Assessment Estimator'!$E$11:$Z$225,'Pre-Assessment Estimator'!$N$2,FALSE))</f>
        <v>0</v>
      </c>
      <c r="AK52" s="172">
        <f>IF(VLOOKUP(E52,'Pre-Assessment Estimator'!$E$11:$Z$225,'Pre-Assessment Estimator'!$U$2,FALSE)&gt;AB52,AB52,VLOOKUP(E52,'Pre-Assessment Estimator'!$E$11:$Z$225,'Pre-Assessment Estimator'!$U$2,FALSE))</f>
        <v>0</v>
      </c>
      <c r="AM52" s="292"/>
      <c r="AN52" s="293"/>
      <c r="AO52" s="293"/>
      <c r="AP52" s="293"/>
      <c r="AQ52" s="294"/>
      <c r="AS52" s="292"/>
      <c r="AT52" s="293"/>
      <c r="AU52" s="293"/>
      <c r="AV52" s="293"/>
      <c r="AW52" s="294"/>
      <c r="AY52" s="188"/>
      <c r="AZ52" s="189"/>
      <c r="BA52" s="189"/>
      <c r="BB52" s="189"/>
      <c r="BC52" s="190"/>
      <c r="BD52" s="687">
        <f t="shared" si="95"/>
        <v>9</v>
      </c>
      <c r="BE52" s="164" t="str">
        <f t="shared" si="71"/>
        <v>N/A</v>
      </c>
      <c r="BF52" s="185"/>
      <c r="BG52" s="182">
        <f t="shared" si="96"/>
        <v>9</v>
      </c>
      <c r="BH52" s="164" t="str">
        <f t="shared" si="73"/>
        <v>N/A</v>
      </c>
      <c r="BI52" s="185"/>
      <c r="BJ52" s="182">
        <f t="shared" si="97"/>
        <v>9</v>
      </c>
      <c r="BK52" s="164" t="str">
        <f t="shared" si="74"/>
        <v>N/A</v>
      </c>
      <c r="BL52" s="185"/>
      <c r="BO52" s="167"/>
      <c r="BP52" s="167"/>
      <c r="BQ52" s="167" t="str">
        <f t="shared" si="15"/>
        <v/>
      </c>
      <c r="BR52" s="167">
        <f t="shared" si="55"/>
        <v>9</v>
      </c>
      <c r="BS52" s="167">
        <f t="shared" si="56"/>
        <v>9</v>
      </c>
      <c r="BT52" s="167">
        <f t="shared" si="57"/>
        <v>9</v>
      </c>
      <c r="BW52" s="167"/>
      <c r="BX52" s="167"/>
      <c r="BY52" s="230"/>
      <c r="BZ52" s="167"/>
      <c r="CA52" s="680"/>
      <c r="CB52" s="167"/>
      <c r="CE52" s="167"/>
      <c r="CG52" s="681"/>
    </row>
    <row r="53" spans="1:85" x14ac:dyDescent="0.25">
      <c r="A53" s="96">
        <v>45</v>
      </c>
      <c r="B53" s="96" t="str">
        <f t="shared" si="104"/>
        <v>Hea 03b</v>
      </c>
      <c r="C53" s="96" t="str">
        <f t="shared" si="19"/>
        <v>Hea 03</v>
      </c>
      <c r="D53" s="163" t="s">
        <v>697</v>
      </c>
      <c r="E53" s="1108" t="s">
        <v>614</v>
      </c>
      <c r="F53" s="775">
        <v>1</v>
      </c>
      <c r="G53" s="775">
        <v>1</v>
      </c>
      <c r="H53" s="775">
        <v>1</v>
      </c>
      <c r="I53" s="775">
        <v>1</v>
      </c>
      <c r="J53" s="775">
        <v>1</v>
      </c>
      <c r="K53" s="775">
        <v>1</v>
      </c>
      <c r="L53" s="775">
        <v>1</v>
      </c>
      <c r="M53" s="775">
        <v>1</v>
      </c>
      <c r="N53" s="775">
        <v>1</v>
      </c>
      <c r="O53" s="775">
        <v>1</v>
      </c>
      <c r="P53" s="775">
        <v>1</v>
      </c>
      <c r="Q53" s="775">
        <v>1</v>
      </c>
      <c r="R53" s="775">
        <v>1</v>
      </c>
      <c r="T53" s="212">
        <f t="shared" si="66"/>
        <v>1</v>
      </c>
      <c r="U53" s="222">
        <f>IF(AND(ADBT0=ADBT1,ADIND_option03=AD_no),Poeng!T53,0)</f>
        <v>0</v>
      </c>
      <c r="V53" s="167"/>
      <c r="W53" s="167"/>
      <c r="X53" s="168"/>
      <c r="Y53" s="169">
        <f>IF($Y$4=$Y$6,T53,0)</f>
        <v>0</v>
      </c>
      <c r="Z53" s="1160">
        <f>VLOOKUP(B53,'Manuell filtrering og justering'!$A$7:$H$107,'Manuell filtrering og justering'!$H$1,FALSE)</f>
        <v>1</v>
      </c>
      <c r="AA53" s="169">
        <f t="shared" si="68"/>
        <v>0</v>
      </c>
      <c r="AB53" s="170">
        <f>IF($AC$5='Manuell filtrering og justering'!$J$2,Z53,(T53-AA53))</f>
        <v>1</v>
      </c>
      <c r="AD53" s="171">
        <f t="shared" si="69"/>
        <v>8.4210526315789472E-3</v>
      </c>
      <c r="AE53" s="171">
        <f t="shared" si="87"/>
        <v>0</v>
      </c>
      <c r="AF53" s="171">
        <f t="shared" si="88"/>
        <v>0</v>
      </c>
      <c r="AG53" s="171">
        <f t="shared" si="89"/>
        <v>0</v>
      </c>
      <c r="AI53" s="172">
        <f>IF(VLOOKUP(E53,'Pre-Assessment Estimator'!$E$11:$Z$225,'Pre-Assessment Estimator'!$G$2,FALSE)&gt;AB53,AB53,VLOOKUP(E53,'Pre-Assessment Estimator'!$E$11:$Z$225,'Pre-Assessment Estimator'!$G$2,FALSE))</f>
        <v>0</v>
      </c>
      <c r="AJ53" s="172">
        <f>IF(VLOOKUP(E53,'Pre-Assessment Estimator'!$E$11:$Z$225,'Pre-Assessment Estimator'!$N$2,FALSE)&gt;AB53,AB53,VLOOKUP(E53,'Pre-Assessment Estimator'!$E$11:$Z$225,'Pre-Assessment Estimator'!$N$2,FALSE))</f>
        <v>0</v>
      </c>
      <c r="AK53" s="172">
        <f>IF(VLOOKUP(E53,'Pre-Assessment Estimator'!$E$11:$Z$225,'Pre-Assessment Estimator'!$U$2,FALSE)&gt;AB53,AB53,VLOOKUP(E53,'Pre-Assessment Estimator'!$E$11:$Z$225,'Pre-Assessment Estimator'!$U$2,FALSE))</f>
        <v>0</v>
      </c>
      <c r="AM53" s="292"/>
      <c r="AN53" s="293"/>
      <c r="AO53" s="293"/>
      <c r="AP53" s="293"/>
      <c r="AQ53" s="294"/>
      <c r="AS53" s="292"/>
      <c r="AT53" s="293"/>
      <c r="AU53" s="293"/>
      <c r="AV53" s="293"/>
      <c r="AW53" s="294"/>
      <c r="AY53" s="188"/>
      <c r="AZ53" s="189"/>
      <c r="BA53" s="189"/>
      <c r="BB53" s="189"/>
      <c r="BC53" s="190"/>
      <c r="BD53" s="687">
        <f t="shared" si="95"/>
        <v>9</v>
      </c>
      <c r="BE53" s="164" t="str">
        <f t="shared" si="71"/>
        <v>N/A</v>
      </c>
      <c r="BF53" s="185"/>
      <c r="BG53" s="182">
        <f t="shared" si="96"/>
        <v>9</v>
      </c>
      <c r="BH53" s="164" t="str">
        <f t="shared" si="73"/>
        <v>N/A</v>
      </c>
      <c r="BI53" s="185"/>
      <c r="BJ53" s="182">
        <f t="shared" si="97"/>
        <v>9</v>
      </c>
      <c r="BK53" s="164" t="str">
        <f t="shared" si="74"/>
        <v>N/A</v>
      </c>
      <c r="BL53" s="185"/>
      <c r="BO53" s="167"/>
      <c r="BP53" s="167"/>
      <c r="BQ53" s="167" t="str">
        <f t="shared" si="15"/>
        <v/>
      </c>
      <c r="BR53" s="167">
        <f t="shared" si="55"/>
        <v>9</v>
      </c>
      <c r="BS53" s="167">
        <f t="shared" si="56"/>
        <v>9</v>
      </c>
      <c r="BT53" s="167">
        <f t="shared" si="57"/>
        <v>9</v>
      </c>
      <c r="BW53" s="167"/>
      <c r="BX53" s="167"/>
      <c r="BY53" s="230"/>
      <c r="BZ53" s="167"/>
      <c r="CA53" s="680"/>
      <c r="CB53" s="167"/>
      <c r="CE53" s="167"/>
      <c r="CG53" s="681"/>
    </row>
    <row r="54" spans="1:85" x14ac:dyDescent="0.25">
      <c r="A54" s="96">
        <v>46</v>
      </c>
      <c r="B54" s="96" t="str">
        <f t="shared" si="104"/>
        <v>Hea 03c</v>
      </c>
      <c r="C54" s="96" t="str">
        <f t="shared" si="19"/>
        <v>Hea 03</v>
      </c>
      <c r="D54" s="166" t="s">
        <v>698</v>
      </c>
      <c r="E54" s="1108" t="s">
        <v>615</v>
      </c>
      <c r="F54" s="775">
        <v>1</v>
      </c>
      <c r="G54" s="775">
        <v>1</v>
      </c>
      <c r="H54" s="775">
        <v>1</v>
      </c>
      <c r="I54" s="775">
        <v>1</v>
      </c>
      <c r="J54" s="775">
        <v>1</v>
      </c>
      <c r="K54" s="775">
        <v>1</v>
      </c>
      <c r="L54" s="775">
        <v>1</v>
      </c>
      <c r="M54" s="775">
        <v>1</v>
      </c>
      <c r="N54" s="775">
        <v>1</v>
      </c>
      <c r="O54" s="775">
        <v>1</v>
      </c>
      <c r="P54" s="775">
        <v>1</v>
      </c>
      <c r="Q54" s="775">
        <v>1</v>
      </c>
      <c r="R54" s="775">
        <v>1</v>
      </c>
      <c r="T54" s="212">
        <f t="shared" si="66"/>
        <v>1</v>
      </c>
      <c r="U54" s="222">
        <f>IF(AND(ADBT0=ADBT1,ADIND_option03=AD_no),Poeng!T54,0)</f>
        <v>0</v>
      </c>
      <c r="V54" s="167"/>
      <c r="W54" s="167"/>
      <c r="X54" s="168"/>
      <c r="Y54" s="169">
        <f>IF(OR($Y$4=$Y$5,$Y$4=$Y$6),T54,0)</f>
        <v>0</v>
      </c>
      <c r="Z54" s="1160">
        <f>VLOOKUP(B54,'Manuell filtrering og justering'!$A$7:$H$107,'Manuell filtrering og justering'!$H$1,FALSE)</f>
        <v>1</v>
      </c>
      <c r="AA54" s="169">
        <f t="shared" si="68"/>
        <v>0</v>
      </c>
      <c r="AB54" s="170">
        <f>IF($AC$5='Manuell filtrering og justering'!$J$2,Z54,(T54-AA54))</f>
        <v>1</v>
      </c>
      <c r="AD54" s="171">
        <f t="shared" si="69"/>
        <v>8.4210526315789472E-3</v>
      </c>
      <c r="AE54" s="171">
        <f t="shared" si="87"/>
        <v>0</v>
      </c>
      <c r="AF54" s="171">
        <f t="shared" si="88"/>
        <v>0</v>
      </c>
      <c r="AG54" s="171">
        <f t="shared" si="89"/>
        <v>0</v>
      </c>
      <c r="AI54" s="172">
        <f>IF(VLOOKUP(E54,'Pre-Assessment Estimator'!$E$11:$Z$225,'Pre-Assessment Estimator'!$G$2,FALSE)&gt;AB54,AB54,VLOOKUP(E54,'Pre-Assessment Estimator'!$E$11:$Z$225,'Pre-Assessment Estimator'!$G$2,FALSE))</f>
        <v>0</v>
      </c>
      <c r="AJ54" s="172">
        <f>IF(VLOOKUP(E54,'Pre-Assessment Estimator'!$E$11:$Z$225,'Pre-Assessment Estimator'!$N$2,FALSE)&gt;AB54,AB54,VLOOKUP(E54,'Pre-Assessment Estimator'!$E$11:$Z$225,'Pre-Assessment Estimator'!$N$2,FALSE))</f>
        <v>0</v>
      </c>
      <c r="AK54" s="172">
        <f>IF(VLOOKUP(E54,'Pre-Assessment Estimator'!$E$11:$Z$225,'Pre-Assessment Estimator'!$U$2,FALSE)&gt;AB54,AB54,VLOOKUP(E54,'Pre-Assessment Estimator'!$E$11:$Z$225,'Pre-Assessment Estimator'!$U$2,FALSE))</f>
        <v>0</v>
      </c>
      <c r="AM54" s="292"/>
      <c r="AN54" s="293"/>
      <c r="AO54" s="293"/>
      <c r="AP54" s="293"/>
      <c r="AQ54" s="294"/>
      <c r="AS54" s="292"/>
      <c r="AT54" s="293"/>
      <c r="AU54" s="293"/>
      <c r="AV54" s="293"/>
      <c r="AW54" s="294"/>
      <c r="AY54" s="188"/>
      <c r="AZ54" s="189"/>
      <c r="BA54" s="189"/>
      <c r="BB54" s="189"/>
      <c r="BC54" s="190"/>
      <c r="BD54" s="687">
        <f t="shared" si="95"/>
        <v>9</v>
      </c>
      <c r="BE54" s="164" t="str">
        <f t="shared" si="71"/>
        <v>N/A</v>
      </c>
      <c r="BF54" s="185"/>
      <c r="BG54" s="182">
        <f t="shared" si="96"/>
        <v>9</v>
      </c>
      <c r="BH54" s="164" t="str">
        <f t="shared" si="73"/>
        <v>N/A</v>
      </c>
      <c r="BI54" s="185"/>
      <c r="BJ54" s="182">
        <f t="shared" si="97"/>
        <v>9</v>
      </c>
      <c r="BK54" s="164" t="str">
        <f t="shared" si="74"/>
        <v>N/A</v>
      </c>
      <c r="BL54" s="185"/>
      <c r="BO54" s="167"/>
      <c r="BP54" s="167"/>
      <c r="BQ54" s="167" t="str">
        <f t="shared" si="15"/>
        <v/>
      </c>
      <c r="BR54" s="167">
        <f t="shared" si="55"/>
        <v>9</v>
      </c>
      <c r="BS54" s="167">
        <f t="shared" si="56"/>
        <v>9</v>
      </c>
      <c r="BT54" s="167">
        <f t="shared" si="57"/>
        <v>9</v>
      </c>
      <c r="BW54" s="167"/>
      <c r="BX54" s="167"/>
      <c r="BY54" s="230"/>
      <c r="BZ54" s="167"/>
      <c r="CA54" s="680"/>
      <c r="CB54" s="167"/>
      <c r="CE54" s="167"/>
      <c r="CG54" s="681"/>
    </row>
    <row r="55" spans="1:85" x14ac:dyDescent="0.25">
      <c r="A55" s="96">
        <v>47</v>
      </c>
      <c r="D55" s="701" t="s">
        <v>121</v>
      </c>
      <c r="E55" s="702"/>
      <c r="F55" s="935"/>
      <c r="G55" s="935"/>
      <c r="H55" s="935"/>
      <c r="I55" s="935"/>
      <c r="J55" s="935"/>
      <c r="K55" s="935"/>
      <c r="L55" s="935"/>
      <c r="M55" s="935"/>
      <c r="N55" s="935"/>
      <c r="O55" s="935"/>
      <c r="P55" s="935"/>
      <c r="Q55" s="935"/>
      <c r="R55" s="935"/>
      <c r="T55" s="962"/>
      <c r="U55" s="701"/>
      <c r="V55" s="700"/>
      <c r="W55" s="700"/>
      <c r="X55" s="955"/>
      <c r="Y55" s="956"/>
      <c r="Z55" s="1160"/>
      <c r="AA55" s="956"/>
      <c r="AB55" s="957"/>
      <c r="AD55" s="171">
        <f t="shared" si="69"/>
        <v>0</v>
      </c>
      <c r="AE55" s="960"/>
      <c r="AF55" s="960"/>
      <c r="AG55" s="960"/>
      <c r="AI55" s="720"/>
      <c r="AJ55" s="720"/>
      <c r="AK55" s="720"/>
      <c r="AL55" s="96" t="s">
        <v>427</v>
      </c>
      <c r="AM55" s="292"/>
      <c r="AN55" s="293"/>
      <c r="AO55" s="293"/>
      <c r="AP55" s="293"/>
      <c r="AQ55" s="294"/>
      <c r="AS55" s="292"/>
      <c r="AT55" s="293"/>
      <c r="AU55" s="293"/>
      <c r="AV55" s="293"/>
      <c r="AW55" s="294"/>
      <c r="AY55" s="188"/>
      <c r="AZ55" s="189"/>
      <c r="BA55" s="189"/>
      <c r="BB55" s="189"/>
      <c r="BC55" s="190"/>
      <c r="BD55" s="687">
        <f t="shared" si="95"/>
        <v>9</v>
      </c>
      <c r="BE55" s="164" t="str">
        <f t="shared" si="71"/>
        <v>N/A</v>
      </c>
      <c r="BF55" s="185"/>
      <c r="BG55" s="182">
        <f t="shared" si="96"/>
        <v>9</v>
      </c>
      <c r="BH55" s="164" t="str">
        <f t="shared" si="73"/>
        <v>N/A</v>
      </c>
      <c r="BI55" s="185"/>
      <c r="BJ55" s="182">
        <f t="shared" si="97"/>
        <v>9</v>
      </c>
      <c r="BK55" s="164" t="str">
        <f t="shared" si="74"/>
        <v>N/A</v>
      </c>
      <c r="BL55" s="185"/>
      <c r="BO55" s="167"/>
      <c r="BP55" s="167"/>
      <c r="BQ55" s="167" t="str">
        <f t="shared" si="15"/>
        <v/>
      </c>
      <c r="BR55" s="167">
        <f t="shared" si="55"/>
        <v>9</v>
      </c>
      <c r="BS55" s="167">
        <f t="shared" si="56"/>
        <v>9</v>
      </c>
      <c r="BT55" s="167">
        <f t="shared" si="57"/>
        <v>9</v>
      </c>
      <c r="BW55" s="167" t="str">
        <f>D55</f>
        <v>Hea 04</v>
      </c>
      <c r="BX55" s="167" t="str">
        <f>IFERROR(VLOOKUP($E55,'Pre-Assessment Estimator'!$E$11:$AB$225,'Pre-Assessment Estimator'!AB$2,FALSE),"")</f>
        <v/>
      </c>
      <c r="BY55" s="230" t="str">
        <f>IFERROR(VLOOKUP($E55,'Pre-Assessment Estimator'!$E$11:$AI$225,'Pre-Assessment Estimator'!AI$2,FALSE),"")</f>
        <v/>
      </c>
      <c r="BZ55" s="167" t="str">
        <f>IFERROR(VLOOKUP($BX55,$E$292:$H$325,F$290,FALSE),"")</f>
        <v/>
      </c>
      <c r="CA55" s="680" t="s">
        <v>432</v>
      </c>
      <c r="CB55" s="167"/>
      <c r="CC55" s="96" t="str">
        <f>IFERROR(VLOOKUP($BX55,$E$292:$H$325,I$290,FALSE),"")</f>
        <v/>
      </c>
      <c r="CD55" s="96" t="s">
        <v>438</v>
      </c>
      <c r="CE55" s="167">
        <f t="shared" si="75"/>
        <v>1</v>
      </c>
      <c r="CG55" s="681">
        <f>IF($BX$5=ais_nei,CE55,IF(AND(CA55=$CA$4,BX55=$CC$4),0,BZ55))</f>
        <v>1</v>
      </c>
    </row>
    <row r="56" spans="1:85" x14ac:dyDescent="0.25">
      <c r="A56" s="96">
        <v>48</v>
      </c>
      <c r="B56" s="137" t="str">
        <f>D56</f>
        <v>Hea 05</v>
      </c>
      <c r="C56" s="137" t="str">
        <f>B56</f>
        <v>Hea 05</v>
      </c>
      <c r="D56" s="834" t="s">
        <v>122</v>
      </c>
      <c r="E56" s="832" t="s">
        <v>128</v>
      </c>
      <c r="F56" s="933">
        <f t="shared" ref="F56:R56" si="105">SUM(F57:F58)</f>
        <v>3</v>
      </c>
      <c r="G56" s="933">
        <f t="shared" si="105"/>
        <v>3</v>
      </c>
      <c r="H56" s="933">
        <f t="shared" si="105"/>
        <v>4</v>
      </c>
      <c r="I56" s="933">
        <f t="shared" si="105"/>
        <v>3</v>
      </c>
      <c r="J56" s="933">
        <f t="shared" si="105"/>
        <v>3</v>
      </c>
      <c r="K56" s="933">
        <f t="shared" si="105"/>
        <v>3</v>
      </c>
      <c r="L56" s="933">
        <f t="shared" si="105"/>
        <v>3</v>
      </c>
      <c r="M56" s="933">
        <f t="shared" si="105"/>
        <v>4</v>
      </c>
      <c r="N56" s="933">
        <f t="shared" si="105"/>
        <v>4</v>
      </c>
      <c r="O56" s="933">
        <f t="shared" si="105"/>
        <v>3</v>
      </c>
      <c r="P56" s="933">
        <f t="shared" si="105"/>
        <v>3</v>
      </c>
      <c r="Q56" s="933">
        <f t="shared" ref="Q56" si="106">SUM(Q57:Q58)</f>
        <v>3</v>
      </c>
      <c r="R56" s="933">
        <f t="shared" si="105"/>
        <v>3</v>
      </c>
      <c r="S56" s="667" t="s">
        <v>575</v>
      </c>
      <c r="T56" s="961">
        <f t="shared" ref="T56:T61" si="107">HLOOKUP($E$6,$F$9:$R$231,$A56,FALSE)</f>
        <v>3</v>
      </c>
      <c r="U56" s="222"/>
      <c r="V56" s="230"/>
      <c r="W56" s="230"/>
      <c r="X56" s="1099">
        <f>'Manuell filtrering og justering'!E21</f>
        <v>0</v>
      </c>
      <c r="Y56" s="963"/>
      <c r="Z56" s="1179">
        <f t="shared" ref="Z56" si="108">SUM(Z57:Z58)</f>
        <v>3</v>
      </c>
      <c r="AA56" s="963">
        <f t="shared" ref="AA56:AA61" si="109">IF(SUM(U56:Y56)&gt;T56,T56,SUM(U56:Y56))</f>
        <v>0</v>
      </c>
      <c r="AB56" s="1067">
        <f t="shared" ref="AB56" si="110">SUM(AB57:AB58)</f>
        <v>3</v>
      </c>
      <c r="AD56" s="171">
        <f t="shared" si="69"/>
        <v>2.5263157894736842E-2</v>
      </c>
      <c r="AE56" s="921">
        <f>SUM(AE57:AE58)</f>
        <v>0</v>
      </c>
      <c r="AF56" s="921">
        <f t="shared" ref="AF56:AG56" si="111">SUM(AF57:AF58)</f>
        <v>0</v>
      </c>
      <c r="AG56" s="921">
        <f t="shared" si="111"/>
        <v>0</v>
      </c>
      <c r="AI56" s="958">
        <f t="shared" ref="AI56:AK56" si="112">SUM(AI57:AI58)</f>
        <v>0</v>
      </c>
      <c r="AJ56" s="958">
        <f t="shared" si="112"/>
        <v>0</v>
      </c>
      <c r="AK56" s="958">
        <f t="shared" si="112"/>
        <v>0</v>
      </c>
      <c r="AM56" s="292"/>
      <c r="AN56" s="293"/>
      <c r="AO56" s="293"/>
      <c r="AP56" s="293"/>
      <c r="AQ56" s="294"/>
      <c r="AS56" s="292"/>
      <c r="AT56" s="293"/>
      <c r="AU56" s="293"/>
      <c r="AV56" s="293"/>
      <c r="AW56" s="294"/>
      <c r="AY56" s="188"/>
      <c r="AZ56" s="189"/>
      <c r="BA56" s="189"/>
      <c r="BB56" s="189"/>
      <c r="BC56" s="190"/>
      <c r="BD56" s="687">
        <f t="shared" si="95"/>
        <v>9</v>
      </c>
      <c r="BE56" s="164" t="str">
        <f t="shared" si="71"/>
        <v>N/A</v>
      </c>
      <c r="BF56" s="185"/>
      <c r="BG56" s="182">
        <f t="shared" si="96"/>
        <v>9</v>
      </c>
      <c r="BH56" s="164" t="str">
        <f t="shared" si="73"/>
        <v>N/A</v>
      </c>
      <c r="BI56" s="185"/>
      <c r="BJ56" s="182">
        <f t="shared" si="97"/>
        <v>9</v>
      </c>
      <c r="BK56" s="164" t="str">
        <f t="shared" si="74"/>
        <v>N/A</v>
      </c>
      <c r="BL56" s="185"/>
      <c r="BO56" s="167"/>
      <c r="BP56" s="167"/>
      <c r="BQ56" s="167" t="str">
        <f t="shared" si="15"/>
        <v/>
      </c>
      <c r="BR56" s="167">
        <f t="shared" si="55"/>
        <v>9</v>
      </c>
      <c r="BS56" s="167">
        <f t="shared" si="56"/>
        <v>9</v>
      </c>
      <c r="BT56" s="167">
        <f t="shared" si="57"/>
        <v>9</v>
      </c>
      <c r="BW56" s="167" t="str">
        <f>D56</f>
        <v>Hea 05</v>
      </c>
      <c r="BX56" s="167" t="str">
        <f>IFERROR(VLOOKUP($E56,'Pre-Assessment Estimator'!$E$11:$AB$225,'Pre-Assessment Estimator'!AB$2,FALSE),"")</f>
        <v>No</v>
      </c>
      <c r="BY56" s="167">
        <f>IFERROR(VLOOKUP($E56,'Pre-Assessment Estimator'!$E$11:$AI$225,'Pre-Assessment Estimator'!AI$2,FALSE),"")</f>
        <v>0</v>
      </c>
      <c r="BZ56" s="167">
        <f>IFERROR(VLOOKUP($BX56,$E$292:$H$325,F$290,FALSE),"")</f>
        <v>1</v>
      </c>
      <c r="CA56" s="167">
        <f>IFERROR(VLOOKUP($BX56,$E$292:$H$325,G$290,FALSE),"")</f>
        <v>0</v>
      </c>
      <c r="CB56" s="167"/>
      <c r="CC56" s="96" t="str">
        <f>IFERROR(VLOOKUP($BX56,$E$292:$H$325,I$290,FALSE),"")</f>
        <v/>
      </c>
    </row>
    <row r="57" spans="1:85" x14ac:dyDescent="0.25">
      <c r="A57" s="96">
        <v>49</v>
      </c>
      <c r="C57" s="96" t="str">
        <f t="shared" si="19"/>
        <v>Hea 05</v>
      </c>
      <c r="D57" s="163" t="s">
        <v>694</v>
      </c>
      <c r="E57" s="940" t="s">
        <v>616</v>
      </c>
      <c r="F57" s="767"/>
      <c r="G57" s="767"/>
      <c r="H57" s="767"/>
      <c r="I57" s="767"/>
      <c r="J57" s="767"/>
      <c r="K57" s="767"/>
      <c r="L57" s="767"/>
      <c r="M57" s="767"/>
      <c r="N57" s="767"/>
      <c r="O57" s="767"/>
      <c r="P57" s="767"/>
      <c r="Q57" s="767"/>
      <c r="R57" s="767"/>
      <c r="S57" s="667"/>
      <c r="T57" s="212">
        <f t="shared" si="107"/>
        <v>0</v>
      </c>
      <c r="U57" s="166"/>
      <c r="V57" s="167"/>
      <c r="W57" s="167"/>
      <c r="X57" s="168"/>
      <c r="Y57" s="169"/>
      <c r="Z57" s="1160"/>
      <c r="AA57" s="169">
        <f t="shared" si="109"/>
        <v>0</v>
      </c>
      <c r="AB57" s="170">
        <f>IF($AC$5='Manuell filtrering og justering'!$J$2,Z57,(T57-AA57))</f>
        <v>0</v>
      </c>
      <c r="AD57" s="171">
        <f t="shared" si="69"/>
        <v>0</v>
      </c>
      <c r="AE57" s="171">
        <f t="shared" si="87"/>
        <v>0</v>
      </c>
      <c r="AF57" s="171">
        <f t="shared" si="88"/>
        <v>0</v>
      </c>
      <c r="AG57" s="171">
        <f t="shared" si="89"/>
        <v>0</v>
      </c>
      <c r="AI57" s="172">
        <f>IF(VLOOKUP(E57,'Pre-Assessment Estimator'!$E$11:$Z$225,'Pre-Assessment Estimator'!$G$2,FALSE)&gt;AB57,AB57,VLOOKUP(E57,'Pre-Assessment Estimator'!$E$11:$Z$225,'Pre-Assessment Estimator'!$G$2,FALSE))</f>
        <v>0</v>
      </c>
      <c r="AJ57" s="172">
        <f>IF(VLOOKUP(E57,'Pre-Assessment Estimator'!$E$11:$Z$225,'Pre-Assessment Estimator'!$N$2,FALSE)&gt;AB57,AB57,VLOOKUP(E57,'Pre-Assessment Estimator'!$E$11:$Z$225,'Pre-Assessment Estimator'!$N$2,FALSE))</f>
        <v>0</v>
      </c>
      <c r="AK57" s="172">
        <f>IF(VLOOKUP(E57,'Pre-Assessment Estimator'!$E$11:$Z$225,'Pre-Assessment Estimator'!$U$2,FALSE)&gt;AB57,AB57,VLOOKUP(E57,'Pre-Assessment Estimator'!$E$11:$Z$225,'Pre-Assessment Estimator'!$U$2,FALSE))</f>
        <v>0</v>
      </c>
      <c r="AM57" s="292"/>
      <c r="AN57" s="293"/>
      <c r="AO57" s="293"/>
      <c r="AP57" s="293"/>
      <c r="AQ57" s="294"/>
      <c r="AS57" s="292"/>
      <c r="AT57" s="293"/>
      <c r="AU57" s="293"/>
      <c r="AV57" s="293"/>
      <c r="AW57" s="294"/>
      <c r="AY57" s="188"/>
      <c r="AZ57" s="189"/>
      <c r="BA57" s="189"/>
      <c r="BB57" s="189"/>
      <c r="BC57" s="190"/>
      <c r="BD57" s="687">
        <f t="shared" si="95"/>
        <v>9</v>
      </c>
      <c r="BE57" s="164" t="str">
        <f t="shared" si="71"/>
        <v>N/A</v>
      </c>
      <c r="BF57" s="185"/>
      <c r="BG57" s="182">
        <f t="shared" si="96"/>
        <v>9</v>
      </c>
      <c r="BH57" s="164" t="str">
        <f t="shared" si="73"/>
        <v>N/A</v>
      </c>
      <c r="BI57" s="185"/>
      <c r="BJ57" s="182">
        <f t="shared" si="97"/>
        <v>9</v>
      </c>
      <c r="BK57" s="164" t="str">
        <f t="shared" si="74"/>
        <v>N/A</v>
      </c>
      <c r="BL57" s="185"/>
      <c r="BO57" s="167"/>
      <c r="BP57" s="167"/>
      <c r="BQ57" s="167" t="str">
        <f t="shared" si="15"/>
        <v/>
      </c>
      <c r="BR57" s="167">
        <f t="shared" si="55"/>
        <v>9</v>
      </c>
      <c r="BS57" s="167">
        <f t="shared" si="56"/>
        <v>9</v>
      </c>
      <c r="BT57" s="167">
        <f t="shared" si="57"/>
        <v>9</v>
      </c>
      <c r="BW57" s="167"/>
      <c r="BX57" s="167"/>
      <c r="BY57" s="167"/>
      <c r="BZ57" s="167"/>
      <c r="CA57" s="167"/>
      <c r="CB57" s="167"/>
    </row>
    <row r="58" spans="1:85" x14ac:dyDescent="0.25">
      <c r="A58" s="96">
        <v>50</v>
      </c>
      <c r="B58" s="96" t="str">
        <f t="shared" ref="B58" si="113">$D$56&amp;D58</f>
        <v>Hea 05b</v>
      </c>
      <c r="C58" s="96" t="str">
        <f t="shared" si="19"/>
        <v>Hea 05</v>
      </c>
      <c r="D58" s="163" t="s">
        <v>697</v>
      </c>
      <c r="E58" s="1108" t="s">
        <v>617</v>
      </c>
      <c r="F58" s="775">
        <v>3</v>
      </c>
      <c r="G58" s="775">
        <v>3</v>
      </c>
      <c r="H58" s="1022">
        <v>4</v>
      </c>
      <c r="I58" s="775">
        <v>3</v>
      </c>
      <c r="J58" s="775">
        <v>3</v>
      </c>
      <c r="K58" s="775">
        <v>3</v>
      </c>
      <c r="L58" s="775">
        <v>3</v>
      </c>
      <c r="M58" s="1022">
        <v>4</v>
      </c>
      <c r="N58" s="1022">
        <v>4</v>
      </c>
      <c r="O58" s="775">
        <v>3</v>
      </c>
      <c r="P58" s="775">
        <v>3</v>
      </c>
      <c r="Q58" s="775">
        <v>3</v>
      </c>
      <c r="R58" s="775">
        <v>3</v>
      </c>
      <c r="S58" s="667"/>
      <c r="T58" s="212">
        <f t="shared" si="107"/>
        <v>3</v>
      </c>
      <c r="U58" s="166"/>
      <c r="V58" s="167"/>
      <c r="W58" s="167"/>
      <c r="X58" s="168"/>
      <c r="Y58" s="169">
        <f>IF($Y$4=$Y$6,T58,0)</f>
        <v>0</v>
      </c>
      <c r="Z58" s="1160">
        <f>VLOOKUP(B58,'Manuell filtrering og justering'!$A$7:$H$107,'Manuell filtrering og justering'!$H$1,FALSE)</f>
        <v>3</v>
      </c>
      <c r="AA58" s="169">
        <f t="shared" si="109"/>
        <v>0</v>
      </c>
      <c r="AB58" s="170">
        <f>IF($AC$5='Manuell filtrering og justering'!$J$2,Z58,(T58-AA58))</f>
        <v>3</v>
      </c>
      <c r="AD58" s="171">
        <f t="shared" si="69"/>
        <v>2.5263157894736842E-2</v>
      </c>
      <c r="AE58" s="171">
        <f t="shared" si="87"/>
        <v>0</v>
      </c>
      <c r="AF58" s="171">
        <f t="shared" si="88"/>
        <v>0</v>
      </c>
      <c r="AG58" s="171">
        <f t="shared" si="89"/>
        <v>0</v>
      </c>
      <c r="AI58" s="1068">
        <f>IF(AI237=AD_no,0,IF(VLOOKUP(E58,'Pre-Assessment Estimator'!$E$11:$Z$225,'Pre-Assessment Estimator'!$G$2,FALSE)&gt;AB58,AB58,VLOOKUP(E58,'Pre-Assessment Estimator'!$E$11:$Z$225,'Pre-Assessment Estimator'!$G$2,FALSE)))</f>
        <v>0</v>
      </c>
      <c r="AJ58" s="1068">
        <f>IF(AJ237=AD_no,0,IF(VLOOKUP(E58,'Pre-Assessment Estimator'!$E$11:$Z$225,'Pre-Assessment Estimator'!$N$2,FALSE)&gt;AB58,AB58,VLOOKUP(E58,'Pre-Assessment Estimator'!$E$11:$Z$225,'Pre-Assessment Estimator'!$N$2,FALSE)))</f>
        <v>0</v>
      </c>
      <c r="AK58" s="1068">
        <f>IF(AK237=AD_no,0,IF(VLOOKUP(E58,'Pre-Assessment Estimator'!$E$11:$Z$225,'Pre-Assessment Estimator'!$U$2,FALSE)&gt;AB58,AB58,VLOOKUP(E58,'Pre-Assessment Estimator'!$E$11:$Z$225,'Pre-Assessment Estimator'!$U$2,FALSE)))</f>
        <v>0</v>
      </c>
      <c r="AM58" s="292"/>
      <c r="AN58" s="293"/>
      <c r="AO58" s="293"/>
      <c r="AP58" s="293"/>
      <c r="AQ58" s="294"/>
      <c r="AS58" s="292"/>
      <c r="AT58" s="293"/>
      <c r="AU58" s="293"/>
      <c r="AV58" s="293"/>
      <c r="AW58" s="294"/>
      <c r="AY58" s="188"/>
      <c r="AZ58" s="189"/>
      <c r="BA58" s="189"/>
      <c r="BB58" s="189"/>
      <c r="BC58" s="190"/>
      <c r="BD58" s="687">
        <f t="shared" si="95"/>
        <v>9</v>
      </c>
      <c r="BE58" s="164" t="str">
        <f t="shared" si="71"/>
        <v>N/A</v>
      </c>
      <c r="BF58" s="185"/>
      <c r="BG58" s="182">
        <f t="shared" si="96"/>
        <v>9</v>
      </c>
      <c r="BH58" s="164" t="str">
        <f t="shared" si="73"/>
        <v>N/A</v>
      </c>
      <c r="BI58" s="185"/>
      <c r="BJ58" s="182">
        <f t="shared" si="97"/>
        <v>9</v>
      </c>
      <c r="BK58" s="164" t="str">
        <f t="shared" si="74"/>
        <v>N/A</v>
      </c>
      <c r="BL58" s="185"/>
      <c r="BO58" s="167"/>
      <c r="BP58" s="167"/>
      <c r="BQ58" s="167" t="str">
        <f t="shared" si="15"/>
        <v/>
      </c>
      <c r="BR58" s="167">
        <f t="shared" si="55"/>
        <v>9</v>
      </c>
      <c r="BS58" s="167">
        <f t="shared" si="56"/>
        <v>9</v>
      </c>
      <c r="BT58" s="167">
        <f t="shared" si="57"/>
        <v>9</v>
      </c>
      <c r="BW58" s="167"/>
      <c r="BX58" s="167"/>
      <c r="BY58" s="167"/>
      <c r="BZ58" s="167"/>
      <c r="CA58" s="167"/>
      <c r="CB58" s="167"/>
    </row>
    <row r="59" spans="1:85" x14ac:dyDescent="0.25">
      <c r="A59" s="96">
        <v>51</v>
      </c>
      <c r="B59" s="137" t="str">
        <f>D59</f>
        <v>Hea 06</v>
      </c>
      <c r="C59" s="137" t="str">
        <f>B59</f>
        <v>Hea 06</v>
      </c>
      <c r="D59" s="834" t="s">
        <v>123</v>
      </c>
      <c r="E59" s="832" t="s">
        <v>115</v>
      </c>
      <c r="F59" s="933">
        <f t="shared" ref="F59:R59" si="114">SUM(F60:F61)</f>
        <v>2</v>
      </c>
      <c r="G59" s="933">
        <f t="shared" si="114"/>
        <v>2</v>
      </c>
      <c r="H59" s="933">
        <f t="shared" si="114"/>
        <v>3</v>
      </c>
      <c r="I59" s="933">
        <f t="shared" si="114"/>
        <v>2</v>
      </c>
      <c r="J59" s="933">
        <f t="shared" si="114"/>
        <v>2</v>
      </c>
      <c r="K59" s="933">
        <f t="shared" si="114"/>
        <v>2</v>
      </c>
      <c r="L59" s="933">
        <f t="shared" si="114"/>
        <v>2</v>
      </c>
      <c r="M59" s="933">
        <f t="shared" si="114"/>
        <v>3</v>
      </c>
      <c r="N59" s="933">
        <f t="shared" si="114"/>
        <v>3</v>
      </c>
      <c r="O59" s="933">
        <f t="shared" si="114"/>
        <v>2</v>
      </c>
      <c r="P59" s="933">
        <f t="shared" si="114"/>
        <v>2</v>
      </c>
      <c r="Q59" s="933">
        <f t="shared" ref="Q59" si="115">SUM(Q60:Q61)</f>
        <v>2</v>
      </c>
      <c r="R59" s="933">
        <f t="shared" si="114"/>
        <v>2</v>
      </c>
      <c r="S59" s="959" t="s">
        <v>576</v>
      </c>
      <c r="T59" s="961">
        <f t="shared" si="107"/>
        <v>2</v>
      </c>
      <c r="U59" s="222"/>
      <c r="V59" s="230"/>
      <c r="W59" s="230"/>
      <c r="X59" s="1099">
        <f>'Manuell filtrering og justering'!E22</f>
        <v>0</v>
      </c>
      <c r="Y59" s="963"/>
      <c r="Z59" s="1179">
        <f t="shared" ref="Z59" si="116">SUM(Z60:Z61)</f>
        <v>3</v>
      </c>
      <c r="AA59" s="963">
        <f t="shared" si="109"/>
        <v>0</v>
      </c>
      <c r="AB59" s="1067">
        <f t="shared" ref="AB59" si="117">SUM(AB60:AB61)</f>
        <v>2</v>
      </c>
      <c r="AD59" s="171">
        <f t="shared" si="69"/>
        <v>1.6842105263157894E-2</v>
      </c>
      <c r="AE59" s="921">
        <f>SUM(AE60:AE61)</f>
        <v>0</v>
      </c>
      <c r="AF59" s="921">
        <f t="shared" ref="AF59:AG59" si="118">SUM(AF60:AF62)</f>
        <v>0</v>
      </c>
      <c r="AG59" s="921">
        <f t="shared" si="118"/>
        <v>0</v>
      </c>
      <c r="AI59" s="958">
        <f t="shared" ref="AI59:AK59" si="119">SUM(AI60:AI61)</f>
        <v>0</v>
      </c>
      <c r="AJ59" s="958">
        <f t="shared" si="119"/>
        <v>0</v>
      </c>
      <c r="AK59" s="958">
        <f t="shared" si="119"/>
        <v>0</v>
      </c>
      <c r="AM59" s="292"/>
      <c r="AN59" s="293"/>
      <c r="AO59" s="293"/>
      <c r="AP59" s="293"/>
      <c r="AQ59" s="294"/>
      <c r="AS59" s="292"/>
      <c r="AT59" s="293"/>
      <c r="AU59" s="293"/>
      <c r="AV59" s="293"/>
      <c r="AW59" s="294"/>
      <c r="AY59" s="188"/>
      <c r="AZ59" s="189"/>
      <c r="BA59" s="189"/>
      <c r="BB59" s="189"/>
      <c r="BC59" s="190"/>
      <c r="BD59" s="687">
        <f t="shared" si="95"/>
        <v>9</v>
      </c>
      <c r="BE59" s="164" t="str">
        <f t="shared" si="71"/>
        <v>N/A</v>
      </c>
      <c r="BF59" s="185"/>
      <c r="BG59" s="182">
        <f t="shared" si="96"/>
        <v>9</v>
      </c>
      <c r="BH59" s="164" t="str">
        <f t="shared" si="73"/>
        <v>N/A</v>
      </c>
      <c r="BI59" s="185"/>
      <c r="BJ59" s="182">
        <f t="shared" si="97"/>
        <v>9</v>
      </c>
      <c r="BK59" s="164" t="str">
        <f t="shared" si="74"/>
        <v>N/A</v>
      </c>
      <c r="BL59" s="185"/>
      <c r="BO59" s="167"/>
      <c r="BP59" s="167"/>
      <c r="BQ59" s="167" t="str">
        <f t="shared" si="15"/>
        <v/>
      </c>
      <c r="BR59" s="167">
        <f t="shared" si="55"/>
        <v>9</v>
      </c>
      <c r="BS59" s="167">
        <f t="shared" si="56"/>
        <v>9</v>
      </c>
      <c r="BT59" s="167">
        <f t="shared" si="57"/>
        <v>9</v>
      </c>
      <c r="BW59" s="167" t="str">
        <f>D59</f>
        <v>Hea 06</v>
      </c>
      <c r="BX59" s="167" t="str">
        <f>IFERROR(VLOOKUP($E59,'Pre-Assessment Estimator'!$E$11:$AB$225,'Pre-Assessment Estimator'!AB$2,FALSE),"")</f>
        <v>N/A</v>
      </c>
      <c r="BY59" s="167">
        <f>IFERROR(VLOOKUP($E59,'Pre-Assessment Estimator'!$E$11:$AI$225,'Pre-Assessment Estimator'!AI$2,FALSE),"")</f>
        <v>0</v>
      </c>
      <c r="BZ59" s="167">
        <f>IFERROR(VLOOKUP($BX59,$E$292:$H$325,F$290,FALSE),"")</f>
        <v>1</v>
      </c>
      <c r="CA59" s="167">
        <f>IFERROR(VLOOKUP($BX59,$E$292:$H$325,G$290,FALSE),"")</f>
        <v>0</v>
      </c>
      <c r="CB59" s="167"/>
      <c r="CC59" s="96" t="str">
        <f>IFERROR(VLOOKUP($BX59,$E$292:$H$325,I$290,FALSE),"")</f>
        <v/>
      </c>
    </row>
    <row r="60" spans="1:85" x14ac:dyDescent="0.25">
      <c r="A60" s="96">
        <v>52</v>
      </c>
      <c r="B60" s="96" t="str">
        <f t="shared" ref="B60:B61" si="120">$D$59&amp;D60</f>
        <v>Hea 06a</v>
      </c>
      <c r="C60" s="96" t="str">
        <f t="shared" si="19"/>
        <v>Hea 06</v>
      </c>
      <c r="D60" s="163" t="s">
        <v>694</v>
      </c>
      <c r="E60" s="1108" t="s">
        <v>618</v>
      </c>
      <c r="F60" s="775">
        <v>1</v>
      </c>
      <c r="G60" s="775">
        <v>1</v>
      </c>
      <c r="H60" s="1022">
        <v>2</v>
      </c>
      <c r="I60" s="775">
        <v>1</v>
      </c>
      <c r="J60" s="775">
        <v>1</v>
      </c>
      <c r="K60" s="775">
        <v>1</v>
      </c>
      <c r="L60" s="775">
        <v>1</v>
      </c>
      <c r="M60" s="1022">
        <v>2</v>
      </c>
      <c r="N60" s="1022">
        <v>2</v>
      </c>
      <c r="O60" s="775">
        <v>1</v>
      </c>
      <c r="P60" s="775">
        <v>1</v>
      </c>
      <c r="Q60" s="775">
        <v>1</v>
      </c>
      <c r="R60" s="775">
        <v>1</v>
      </c>
      <c r="S60" s="795"/>
      <c r="T60" s="212">
        <f t="shared" si="107"/>
        <v>1</v>
      </c>
      <c r="U60" s="166"/>
      <c r="V60" s="167"/>
      <c r="W60" s="167"/>
      <c r="X60" s="168"/>
      <c r="Y60" s="169">
        <f>IF($Y$4=$Y$6,T60,0)</f>
        <v>0</v>
      </c>
      <c r="Z60" s="1160">
        <f>VLOOKUP(B60,'Manuell filtrering og justering'!$A$7:$H$107,'Manuell filtrering og justering'!$H$1,FALSE)</f>
        <v>2</v>
      </c>
      <c r="AA60" s="169">
        <f t="shared" si="109"/>
        <v>0</v>
      </c>
      <c r="AB60" s="170">
        <f>IF($AC$5='Manuell filtrering og justering'!$J$2,Z60,(T60-AA60))</f>
        <v>1</v>
      </c>
      <c r="AD60" s="171">
        <f t="shared" si="69"/>
        <v>8.4210526315789472E-3</v>
      </c>
      <c r="AE60" s="171">
        <f t="shared" si="87"/>
        <v>0</v>
      </c>
      <c r="AF60" s="171">
        <f t="shared" si="88"/>
        <v>0</v>
      </c>
      <c r="AG60" s="171">
        <f t="shared" si="89"/>
        <v>0</v>
      </c>
      <c r="AI60" s="172">
        <f>IF(VLOOKUP(E60,'Pre-Assessment Estimator'!$E$11:$Z$225,'Pre-Assessment Estimator'!$G$2,FALSE)&gt;AB60,AB60,VLOOKUP(E60,'Pre-Assessment Estimator'!$E$11:$Z$225,'Pre-Assessment Estimator'!$G$2,FALSE))</f>
        <v>0</v>
      </c>
      <c r="AJ60" s="172">
        <f>IF(VLOOKUP(E60,'Pre-Assessment Estimator'!$E$11:$Z$225,'Pre-Assessment Estimator'!$N$2,FALSE)&gt;AB60,AB60,VLOOKUP(E60,'Pre-Assessment Estimator'!$E$11:$Z$225,'Pre-Assessment Estimator'!$N$2,FALSE))</f>
        <v>0</v>
      </c>
      <c r="AK60" s="172">
        <f>IF(VLOOKUP(E60,'Pre-Assessment Estimator'!$E$11:$Z$225,'Pre-Assessment Estimator'!$U$2,FALSE)&gt;AB60,AB60,VLOOKUP(E60,'Pre-Assessment Estimator'!$E$11:$Z$225,'Pre-Assessment Estimator'!$U$2,FALSE))</f>
        <v>0</v>
      </c>
      <c r="AM60" s="292"/>
      <c r="AN60" s="293"/>
      <c r="AO60" s="293"/>
      <c r="AP60" s="293"/>
      <c r="AQ60" s="294"/>
      <c r="AS60" s="292"/>
      <c r="AT60" s="293"/>
      <c r="AU60" s="293"/>
      <c r="AV60" s="293"/>
      <c r="AW60" s="294"/>
      <c r="AY60" s="188"/>
      <c r="AZ60" s="189"/>
      <c r="BA60" s="189"/>
      <c r="BB60" s="189"/>
      <c r="BC60" s="190"/>
      <c r="BD60" s="687">
        <f t="shared" si="95"/>
        <v>9</v>
      </c>
      <c r="BE60" s="164" t="str">
        <f t="shared" si="71"/>
        <v>N/A</v>
      </c>
      <c r="BF60" s="185"/>
      <c r="BG60" s="182">
        <f t="shared" si="96"/>
        <v>9</v>
      </c>
      <c r="BH60" s="164" t="str">
        <f t="shared" si="73"/>
        <v>N/A</v>
      </c>
      <c r="BI60" s="185"/>
      <c r="BJ60" s="182">
        <f t="shared" si="97"/>
        <v>9</v>
      </c>
      <c r="BK60" s="164" t="str">
        <f t="shared" si="74"/>
        <v>N/A</v>
      </c>
      <c r="BL60" s="185"/>
      <c r="BO60" s="167"/>
      <c r="BP60" s="167"/>
      <c r="BQ60" s="167" t="str">
        <f t="shared" si="15"/>
        <v/>
      </c>
      <c r="BR60" s="167">
        <f t="shared" si="55"/>
        <v>9</v>
      </c>
      <c r="BS60" s="167">
        <f t="shared" si="56"/>
        <v>9</v>
      </c>
      <c r="BT60" s="167">
        <f t="shared" si="57"/>
        <v>9</v>
      </c>
      <c r="BW60" s="167"/>
      <c r="BX60" s="167"/>
      <c r="BY60" s="167"/>
      <c r="BZ60" s="167"/>
      <c r="CA60" s="167"/>
      <c r="CB60" s="167"/>
    </row>
    <row r="61" spans="1:85" x14ac:dyDescent="0.25">
      <c r="A61" s="96">
        <v>53</v>
      </c>
      <c r="B61" s="96" t="str">
        <f t="shared" si="120"/>
        <v>Hea 06b</v>
      </c>
      <c r="C61" s="96" t="str">
        <f t="shared" si="19"/>
        <v>Hea 06</v>
      </c>
      <c r="D61" s="163" t="s">
        <v>697</v>
      </c>
      <c r="E61" s="1108" t="s">
        <v>619</v>
      </c>
      <c r="F61" s="775">
        <v>1</v>
      </c>
      <c r="G61" s="775">
        <v>1</v>
      </c>
      <c r="H61" s="775">
        <v>1</v>
      </c>
      <c r="I61" s="775">
        <v>1</v>
      </c>
      <c r="J61" s="775">
        <v>1</v>
      </c>
      <c r="K61" s="775">
        <v>1</v>
      </c>
      <c r="L61" s="775">
        <v>1</v>
      </c>
      <c r="M61" s="775">
        <v>1</v>
      </c>
      <c r="N61" s="775">
        <v>1</v>
      </c>
      <c r="O61" s="775">
        <v>1</v>
      </c>
      <c r="P61" s="775">
        <v>1</v>
      </c>
      <c r="Q61" s="775">
        <v>1</v>
      </c>
      <c r="R61" s="775">
        <v>1</v>
      </c>
      <c r="S61" s="795"/>
      <c r="T61" s="212">
        <f t="shared" si="107"/>
        <v>1</v>
      </c>
      <c r="U61" s="166"/>
      <c r="V61" s="167"/>
      <c r="W61" s="167"/>
      <c r="X61" s="168"/>
      <c r="Y61" s="169">
        <f>IF(OR($Y$4=$Y$5,$Y$4=$Y$6),T61,0)</f>
        <v>0</v>
      </c>
      <c r="Z61" s="1160">
        <f>VLOOKUP(B61,'Manuell filtrering og justering'!$A$7:$H$107,'Manuell filtrering og justering'!$H$1,FALSE)</f>
        <v>1</v>
      </c>
      <c r="AA61" s="169">
        <f t="shared" si="109"/>
        <v>0</v>
      </c>
      <c r="AB61" s="170">
        <f>IF($AC$5='Manuell filtrering og justering'!$J$2,Z61,(T61-AA61))</f>
        <v>1</v>
      </c>
      <c r="AD61" s="171">
        <f t="shared" si="69"/>
        <v>8.4210526315789472E-3</v>
      </c>
      <c r="AE61" s="171">
        <f t="shared" si="87"/>
        <v>0</v>
      </c>
      <c r="AF61" s="171">
        <f t="shared" si="88"/>
        <v>0</v>
      </c>
      <c r="AG61" s="171">
        <f t="shared" si="89"/>
        <v>0</v>
      </c>
      <c r="AI61" s="172">
        <f>IF(VLOOKUP(E61,'Pre-Assessment Estimator'!$E$11:$Z$225,'Pre-Assessment Estimator'!$G$2,FALSE)&gt;AB61,AB61,VLOOKUP(E61,'Pre-Assessment Estimator'!$E$11:$Z$225,'Pre-Assessment Estimator'!$G$2,FALSE))</f>
        <v>0</v>
      </c>
      <c r="AJ61" s="172">
        <f>IF(VLOOKUP(E61,'Pre-Assessment Estimator'!$E$11:$Z$225,'Pre-Assessment Estimator'!$N$2,FALSE)&gt;AB61,AB61,VLOOKUP(E61,'Pre-Assessment Estimator'!$E$11:$Z$225,'Pre-Assessment Estimator'!$N$2,FALSE))</f>
        <v>0</v>
      </c>
      <c r="AK61" s="172">
        <f>IF(VLOOKUP(E61,'Pre-Assessment Estimator'!$E$11:$Z$225,'Pre-Assessment Estimator'!$U$2,FALSE)&gt;AB61,AB61,VLOOKUP(E61,'Pre-Assessment Estimator'!$E$11:$Z$225,'Pre-Assessment Estimator'!$U$2,FALSE))</f>
        <v>0</v>
      </c>
      <c r="AM61" s="292"/>
      <c r="AN61" s="293"/>
      <c r="AO61" s="293"/>
      <c r="AP61" s="293"/>
      <c r="AQ61" s="294"/>
      <c r="AS61" s="292"/>
      <c r="AT61" s="293"/>
      <c r="AU61" s="293"/>
      <c r="AV61" s="293"/>
      <c r="AW61" s="294"/>
      <c r="AY61" s="188"/>
      <c r="AZ61" s="189"/>
      <c r="BA61" s="189"/>
      <c r="BB61" s="189"/>
      <c r="BC61" s="190"/>
      <c r="BD61" s="687">
        <f t="shared" si="95"/>
        <v>9</v>
      </c>
      <c r="BE61" s="164" t="str">
        <f t="shared" si="71"/>
        <v>N/A</v>
      </c>
      <c r="BF61" s="185"/>
      <c r="BG61" s="182">
        <f t="shared" si="96"/>
        <v>9</v>
      </c>
      <c r="BH61" s="164" t="str">
        <f t="shared" si="73"/>
        <v>N/A</v>
      </c>
      <c r="BI61" s="185"/>
      <c r="BJ61" s="182">
        <f t="shared" si="97"/>
        <v>9</v>
      </c>
      <c r="BK61" s="164" t="str">
        <f t="shared" si="74"/>
        <v>N/A</v>
      </c>
      <c r="BL61" s="185"/>
      <c r="BO61" s="167"/>
      <c r="BP61" s="167"/>
      <c r="BQ61" s="167" t="str">
        <f t="shared" si="15"/>
        <v/>
      </c>
      <c r="BR61" s="167">
        <f t="shared" si="55"/>
        <v>9</v>
      </c>
      <c r="BS61" s="167">
        <f t="shared" si="56"/>
        <v>9</v>
      </c>
      <c r="BT61" s="167">
        <f t="shared" si="57"/>
        <v>9</v>
      </c>
      <c r="BW61" s="167"/>
      <c r="BX61" s="167"/>
      <c r="BY61" s="167"/>
      <c r="BZ61" s="167"/>
      <c r="CA61" s="167"/>
      <c r="CB61" s="167"/>
    </row>
    <row r="62" spans="1:85" x14ac:dyDescent="0.25">
      <c r="A62" s="96">
        <v>54</v>
      </c>
      <c r="D62" s="701" t="s">
        <v>124</v>
      </c>
      <c r="E62" s="700"/>
      <c r="F62" s="935"/>
      <c r="G62" s="935"/>
      <c r="H62" s="935"/>
      <c r="I62" s="935"/>
      <c r="J62" s="935"/>
      <c r="K62" s="935"/>
      <c r="L62" s="935"/>
      <c r="M62" s="935"/>
      <c r="N62" s="935"/>
      <c r="O62" s="935"/>
      <c r="P62" s="935"/>
      <c r="Q62" s="935"/>
      <c r="R62" s="935"/>
      <c r="T62" s="962"/>
      <c r="U62" s="701"/>
      <c r="V62" s="700"/>
      <c r="W62" s="700"/>
      <c r="X62" s="955"/>
      <c r="Y62" s="956"/>
      <c r="Z62" s="1160"/>
      <c r="AA62" s="956"/>
      <c r="AB62" s="957"/>
      <c r="AD62" s="171">
        <f t="shared" si="69"/>
        <v>0</v>
      </c>
      <c r="AE62" s="960"/>
      <c r="AF62" s="960"/>
      <c r="AG62" s="960"/>
      <c r="AI62" s="720"/>
      <c r="AJ62" s="720"/>
      <c r="AK62" s="720"/>
      <c r="AM62" s="292"/>
      <c r="AN62" s="293"/>
      <c r="AO62" s="293"/>
      <c r="AP62" s="293"/>
      <c r="AQ62" s="294"/>
      <c r="AS62" s="292"/>
      <c r="AT62" s="293"/>
      <c r="AU62" s="293"/>
      <c r="AV62" s="293"/>
      <c r="AW62" s="294"/>
      <c r="AY62" s="188"/>
      <c r="AZ62" s="189"/>
      <c r="BA62" s="189"/>
      <c r="BB62" s="189"/>
      <c r="BC62" s="190"/>
      <c r="BD62" s="687">
        <f t="shared" si="95"/>
        <v>9</v>
      </c>
      <c r="BE62" s="164" t="str">
        <f t="shared" si="71"/>
        <v>N/A</v>
      </c>
      <c r="BF62" s="185"/>
      <c r="BG62" s="182">
        <f t="shared" si="96"/>
        <v>9</v>
      </c>
      <c r="BH62" s="164" t="str">
        <f t="shared" si="73"/>
        <v>N/A</v>
      </c>
      <c r="BI62" s="185"/>
      <c r="BJ62" s="182">
        <f t="shared" si="97"/>
        <v>9</v>
      </c>
      <c r="BK62" s="164" t="str">
        <f t="shared" si="74"/>
        <v>N/A</v>
      </c>
      <c r="BL62" s="185"/>
      <c r="BO62" s="189"/>
      <c r="BP62" s="167"/>
      <c r="BQ62" s="167" t="str">
        <f t="shared" si="15"/>
        <v/>
      </c>
      <c r="BR62" s="167">
        <f t="shared" si="55"/>
        <v>9</v>
      </c>
      <c r="BS62" s="167">
        <f t="shared" si="56"/>
        <v>9</v>
      </c>
      <c r="BT62" s="167">
        <f t="shared" si="57"/>
        <v>9</v>
      </c>
      <c r="BW62" s="167" t="str">
        <f>D62</f>
        <v>Hea 07</v>
      </c>
      <c r="BX62" s="167" t="str">
        <f>IFERROR(VLOOKUP($E62,'Pre-Assessment Estimator'!$E$11:$AB$225,'Pre-Assessment Estimator'!AB$2,FALSE),"")</f>
        <v/>
      </c>
      <c r="BY62" s="167" t="str">
        <f>IFERROR(VLOOKUP($E62,'Pre-Assessment Estimator'!$E$11:$AI$225,'Pre-Assessment Estimator'!AI$2,FALSE),"")</f>
        <v/>
      </c>
      <c r="BZ62" s="167" t="str">
        <f>IFERROR(VLOOKUP($BX62,$E$292:$H$325,F$290,FALSE),"")</f>
        <v/>
      </c>
      <c r="CA62" s="167" t="str">
        <f>IFERROR(VLOOKUP($BX62,$E$292:$H$325,G$290,FALSE),"")</f>
        <v/>
      </c>
      <c r="CB62" s="167"/>
      <c r="CC62" s="96" t="str">
        <f>IFERROR(VLOOKUP($BX62,$E$292:$H$325,I$290,FALSE),"")</f>
        <v/>
      </c>
    </row>
    <row r="63" spans="1:85" x14ac:dyDescent="0.25">
      <c r="A63" s="96">
        <v>55</v>
      </c>
      <c r="B63" s="137" t="str">
        <f>D63</f>
        <v>Hea 08</v>
      </c>
      <c r="C63" s="137" t="str">
        <f>B63</f>
        <v>Hea 08</v>
      </c>
      <c r="D63" s="834" t="s">
        <v>125</v>
      </c>
      <c r="E63" s="832" t="s">
        <v>117</v>
      </c>
      <c r="F63" s="933">
        <f t="shared" ref="F63:R63" si="121">SUM(F64:F65)</f>
        <v>0</v>
      </c>
      <c r="G63" s="933">
        <f t="shared" si="121"/>
        <v>0</v>
      </c>
      <c r="H63" s="933">
        <f t="shared" si="121"/>
        <v>1</v>
      </c>
      <c r="I63" s="933">
        <f t="shared" si="121"/>
        <v>0</v>
      </c>
      <c r="J63" s="933">
        <f t="shared" si="121"/>
        <v>0</v>
      </c>
      <c r="K63" s="933">
        <f t="shared" si="121"/>
        <v>0</v>
      </c>
      <c r="L63" s="933">
        <f t="shared" si="121"/>
        <v>0</v>
      </c>
      <c r="M63" s="933">
        <f t="shared" si="121"/>
        <v>0</v>
      </c>
      <c r="N63" s="933">
        <f t="shared" si="121"/>
        <v>0</v>
      </c>
      <c r="O63" s="933">
        <f t="shared" si="121"/>
        <v>0</v>
      </c>
      <c r="P63" s="933">
        <f t="shared" si="121"/>
        <v>0</v>
      </c>
      <c r="Q63" s="933">
        <f t="shared" ref="Q63" si="122">SUM(Q64:Q65)</f>
        <v>0</v>
      </c>
      <c r="R63" s="933">
        <f t="shared" si="121"/>
        <v>0</v>
      </c>
      <c r="T63" s="961">
        <f>HLOOKUP($E$6,$F$9:$R$231,$A63,FALSE)</f>
        <v>0</v>
      </c>
      <c r="U63" s="222"/>
      <c r="V63" s="230"/>
      <c r="W63" s="230"/>
      <c r="X63" s="1099">
        <f>'Manuell filtrering og justering'!E24</f>
        <v>0</v>
      </c>
      <c r="Y63" s="963"/>
      <c r="Z63" s="1179">
        <f t="shared" ref="Z63" si="123">SUM(Z64:Z65)</f>
        <v>0</v>
      </c>
      <c r="AA63" s="963">
        <f>IF(SUM(U63:Y63)&gt;T63,T63,SUM(U63:Y63))</f>
        <v>0</v>
      </c>
      <c r="AB63" s="1067">
        <f>SUM(AB64)</f>
        <v>0</v>
      </c>
      <c r="AD63" s="171">
        <f t="shared" si="69"/>
        <v>0</v>
      </c>
      <c r="AE63" s="921">
        <f>SUM(AE64)</f>
        <v>0</v>
      </c>
      <c r="AF63" s="921">
        <f t="shared" ref="AF63:AG63" si="124">SUM(AF64)</f>
        <v>0</v>
      </c>
      <c r="AG63" s="921">
        <f t="shared" si="124"/>
        <v>0</v>
      </c>
      <c r="AI63" s="958">
        <f t="shared" ref="AI63:AK63" si="125">SUM(AI64:AI65)</f>
        <v>0</v>
      </c>
      <c r="AJ63" s="958">
        <f t="shared" si="125"/>
        <v>0</v>
      </c>
      <c r="AK63" s="958">
        <f t="shared" si="125"/>
        <v>0</v>
      </c>
      <c r="AM63" s="291"/>
      <c r="AN63" s="181"/>
      <c r="AO63" s="181"/>
      <c r="AP63" s="181"/>
      <c r="AQ63" s="186"/>
      <c r="AS63" s="291"/>
      <c r="AT63" s="181"/>
      <c r="AU63" s="181"/>
      <c r="AV63" s="181"/>
      <c r="AW63" s="294"/>
      <c r="AY63" s="182"/>
      <c r="AZ63" s="183"/>
      <c r="BA63" s="183"/>
      <c r="BB63" s="183"/>
      <c r="BC63" s="187"/>
      <c r="BD63" s="687">
        <f t="shared" si="95"/>
        <v>9</v>
      </c>
      <c r="BE63" s="164" t="str">
        <f t="shared" si="71"/>
        <v>N/A</v>
      </c>
      <c r="BF63" s="185"/>
      <c r="BG63" s="182">
        <f t="shared" si="96"/>
        <v>9</v>
      </c>
      <c r="BH63" s="164" t="str">
        <f t="shared" si="73"/>
        <v>N/A</v>
      </c>
      <c r="BI63" s="185"/>
      <c r="BJ63" s="182">
        <f t="shared" si="97"/>
        <v>9</v>
      </c>
      <c r="BK63" s="164" t="str">
        <f t="shared" si="74"/>
        <v>N/A</v>
      </c>
      <c r="BL63" s="185"/>
      <c r="BO63" s="1145"/>
      <c r="BP63" s="167"/>
      <c r="BQ63" s="167" t="str">
        <f t="shared" si="15"/>
        <v/>
      </c>
      <c r="BR63" s="167">
        <f t="shared" si="55"/>
        <v>9</v>
      </c>
      <c r="BS63" s="167">
        <f t="shared" si="56"/>
        <v>9</v>
      </c>
      <c r="BT63" s="167">
        <f t="shared" si="57"/>
        <v>9</v>
      </c>
      <c r="BW63" s="167" t="str">
        <f>D63</f>
        <v>Hea 08</v>
      </c>
      <c r="BX63" s="167" t="str">
        <f>IFERROR(VLOOKUP($E63,'Pre-Assessment Estimator'!$E$11:$AB$225,'Pre-Assessment Estimator'!AB$2,FALSE),"")</f>
        <v>N/A</v>
      </c>
      <c r="BY63" s="167">
        <f>IFERROR(VLOOKUP($E63,'Pre-Assessment Estimator'!$E$11:$AI$225,'Pre-Assessment Estimator'!AI$2,FALSE),"")</f>
        <v>0</v>
      </c>
      <c r="BZ63" s="167">
        <f>IFERROR(VLOOKUP($BX63,$E$292:$H$325,F$290,FALSE),"")</f>
        <v>1</v>
      </c>
      <c r="CA63" s="167">
        <f>IFERROR(VLOOKUP($BX63,$E$292:$H$325,G$290,FALSE),"")</f>
        <v>0</v>
      </c>
      <c r="CB63" s="167"/>
      <c r="CC63" s="96" t="str">
        <f>IFERROR(VLOOKUP($BX63,$E$292:$H$325,I$290,FALSE),"")</f>
        <v/>
      </c>
    </row>
    <row r="64" spans="1:85" x14ac:dyDescent="0.25">
      <c r="A64" s="96">
        <v>56</v>
      </c>
      <c r="B64" s="96" t="str">
        <f>$D$63&amp;D64</f>
        <v>Hea 08a</v>
      </c>
      <c r="C64" s="96" t="str">
        <f t="shared" si="19"/>
        <v>Hea 08</v>
      </c>
      <c r="D64" s="192" t="s">
        <v>694</v>
      </c>
      <c r="E64" s="1108" t="s">
        <v>620</v>
      </c>
      <c r="F64" s="941">
        <v>0</v>
      </c>
      <c r="G64" s="941">
        <v>0</v>
      </c>
      <c r="H64" s="941">
        <v>1</v>
      </c>
      <c r="I64" s="941">
        <v>0</v>
      </c>
      <c r="J64" s="941">
        <v>0</v>
      </c>
      <c r="K64" s="941">
        <v>0</v>
      </c>
      <c r="L64" s="941">
        <v>0</v>
      </c>
      <c r="M64" s="941">
        <v>0</v>
      </c>
      <c r="N64" s="941">
        <v>0</v>
      </c>
      <c r="O64" s="941">
        <v>0</v>
      </c>
      <c r="P64" s="941">
        <v>0</v>
      </c>
      <c r="Q64" s="941">
        <v>0</v>
      </c>
      <c r="R64" s="941">
        <v>0</v>
      </c>
      <c r="T64" s="212">
        <f>HLOOKUP($E$6,$F$9:$R$231,$A64,FALSE)</f>
        <v>0</v>
      </c>
      <c r="U64" s="166"/>
      <c r="V64" s="167"/>
      <c r="W64" s="167"/>
      <c r="X64" s="168"/>
      <c r="Y64" s="169"/>
      <c r="Z64" s="1160">
        <f>VLOOKUP(B64,'Manuell filtrering og justering'!$A$7:$H$107,'Manuell filtrering og justering'!$H$1,FALSE)</f>
        <v>0</v>
      </c>
      <c r="AA64" s="169">
        <f>IF(SUM(U64:Y64)&gt;T64,T64,SUM(U64:Y64))</f>
        <v>0</v>
      </c>
      <c r="AB64" s="170">
        <f>IF($AC$5='Manuell filtrering og justering'!$J$2,Z64,(T64-AA64))</f>
        <v>0</v>
      </c>
      <c r="AD64" s="171">
        <f t="shared" si="69"/>
        <v>0</v>
      </c>
      <c r="AE64" s="171">
        <f t="shared" si="87"/>
        <v>0</v>
      </c>
      <c r="AF64" s="171">
        <f t="shared" si="88"/>
        <v>0</v>
      </c>
      <c r="AG64" s="171">
        <f t="shared" si="89"/>
        <v>0</v>
      </c>
      <c r="AI64" s="172">
        <f>IF(VLOOKUP(E64,'Pre-Assessment Estimator'!$E$11:$Z$225,'Pre-Assessment Estimator'!$G$2,FALSE)&gt;AB64,AB64,VLOOKUP(E64,'Pre-Assessment Estimator'!$E$11:$Z$225,'Pre-Assessment Estimator'!$G$2,FALSE))</f>
        <v>0</v>
      </c>
      <c r="AJ64" s="172">
        <f>IF(VLOOKUP(E64,'Pre-Assessment Estimator'!$E$11:$Z$225,'Pre-Assessment Estimator'!$N$2,FALSE)&gt;AB64,AB64,VLOOKUP(E64,'Pre-Assessment Estimator'!$E$11:$Z$225,'Pre-Assessment Estimator'!$N$2,FALSE))</f>
        <v>0</v>
      </c>
      <c r="AK64" s="172">
        <f>IF(VLOOKUP(E64,'Pre-Assessment Estimator'!$E$11:$Z$225,'Pre-Assessment Estimator'!$U$2,FALSE)&gt;AB64,AB64,VLOOKUP(E64,'Pre-Assessment Estimator'!$E$11:$Z$225,'Pre-Assessment Estimator'!$U$2,FALSE))</f>
        <v>0</v>
      </c>
      <c r="AM64" s="840"/>
      <c r="AN64" s="841"/>
      <c r="AO64" s="841"/>
      <c r="AP64" s="841"/>
      <c r="AQ64" s="842"/>
      <c r="AS64" s="840"/>
      <c r="AT64" s="841"/>
      <c r="AU64" s="841"/>
      <c r="AV64" s="841"/>
      <c r="AW64" s="843"/>
      <c r="AY64" s="844"/>
      <c r="AZ64" s="845"/>
      <c r="BA64" s="845"/>
      <c r="BB64" s="845"/>
      <c r="BC64" s="846"/>
      <c r="BD64" s="687">
        <f t="shared" si="95"/>
        <v>9</v>
      </c>
      <c r="BE64" s="164" t="str">
        <f t="shared" si="71"/>
        <v>N/A</v>
      </c>
      <c r="BF64" s="185"/>
      <c r="BG64" s="182">
        <f t="shared" si="96"/>
        <v>9</v>
      </c>
      <c r="BH64" s="164" t="str">
        <f t="shared" si="73"/>
        <v>N/A</v>
      </c>
      <c r="BI64" s="185"/>
      <c r="BJ64" s="182">
        <f t="shared" si="97"/>
        <v>9</v>
      </c>
      <c r="BK64" s="164" t="str">
        <f t="shared" si="74"/>
        <v>N/A</v>
      </c>
      <c r="BL64" s="847"/>
      <c r="BO64" s="1145"/>
      <c r="BP64" s="167"/>
      <c r="BQ64" s="167" t="str">
        <f t="shared" si="15"/>
        <v/>
      </c>
      <c r="BR64" s="167">
        <f t="shared" si="55"/>
        <v>9</v>
      </c>
      <c r="BS64" s="167">
        <f t="shared" si="56"/>
        <v>9</v>
      </c>
      <c r="BT64" s="167">
        <f t="shared" si="57"/>
        <v>9</v>
      </c>
      <c r="BW64" s="193"/>
      <c r="BX64" s="193"/>
      <c r="BY64" s="193"/>
      <c r="BZ64" s="193"/>
      <c r="CA64" s="193"/>
      <c r="CB64" s="193"/>
    </row>
    <row r="65" spans="1:87" ht="15.75" thickBot="1" x14ac:dyDescent="0.3">
      <c r="A65" s="96">
        <v>57</v>
      </c>
      <c r="D65" s="703" t="s">
        <v>126</v>
      </c>
      <c r="E65" s="704"/>
      <c r="F65" s="936"/>
      <c r="G65" s="936"/>
      <c r="H65" s="936"/>
      <c r="I65" s="936"/>
      <c r="J65" s="936"/>
      <c r="K65" s="936"/>
      <c r="L65" s="936"/>
      <c r="M65" s="936"/>
      <c r="N65" s="936"/>
      <c r="O65" s="936"/>
      <c r="P65" s="936"/>
      <c r="Q65" s="936"/>
      <c r="R65" s="936"/>
      <c r="T65" s="962"/>
      <c r="U65" s="701"/>
      <c r="V65" s="700"/>
      <c r="W65" s="700"/>
      <c r="X65" s="955"/>
      <c r="Y65" s="1181"/>
      <c r="Z65" s="1160"/>
      <c r="AA65" s="956"/>
      <c r="AB65" s="957"/>
      <c r="AD65" s="171">
        <f t="shared" si="69"/>
        <v>0</v>
      </c>
      <c r="AE65" s="960"/>
      <c r="AF65" s="960"/>
      <c r="AG65" s="960"/>
      <c r="AI65" s="720"/>
      <c r="AJ65" s="720"/>
      <c r="AK65" s="720"/>
      <c r="AM65" s="301"/>
      <c r="AN65" s="302"/>
      <c r="AO65" s="302"/>
      <c r="AP65" s="302"/>
      <c r="AQ65" s="303"/>
      <c r="AS65" s="301"/>
      <c r="AT65" s="302"/>
      <c r="AU65" s="302"/>
      <c r="AV65" s="302"/>
      <c r="AW65" s="303"/>
      <c r="AY65" s="198"/>
      <c r="AZ65" s="224"/>
      <c r="BA65" s="224"/>
      <c r="BB65" s="224"/>
      <c r="BC65" s="225"/>
      <c r="BD65" s="198">
        <f t="shared" si="60"/>
        <v>9</v>
      </c>
      <c r="BE65" s="164" t="str">
        <f t="shared" si="71"/>
        <v>N/A</v>
      </c>
      <c r="BF65" s="200"/>
      <c r="BG65" s="198">
        <f t="shared" si="72"/>
        <v>9</v>
      </c>
      <c r="BH65" s="164" t="str">
        <f t="shared" si="73"/>
        <v>N/A</v>
      </c>
      <c r="BI65" s="200"/>
      <c r="BJ65" s="198">
        <f t="shared" si="28"/>
        <v>9</v>
      </c>
      <c r="BK65" s="164" t="str">
        <f t="shared" si="74"/>
        <v>N/A</v>
      </c>
      <c r="BL65" s="200"/>
      <c r="BO65" s="1146"/>
      <c r="BP65" s="167"/>
      <c r="BQ65" s="167" t="str">
        <f t="shared" si="15"/>
        <v/>
      </c>
      <c r="BR65" s="167">
        <f t="shared" si="55"/>
        <v>9</v>
      </c>
      <c r="BS65" s="167">
        <f t="shared" si="56"/>
        <v>9</v>
      </c>
      <c r="BT65" s="167">
        <f t="shared" si="57"/>
        <v>9</v>
      </c>
      <c r="BW65" s="193" t="str">
        <f>D65</f>
        <v>Hea 09</v>
      </c>
      <c r="BX65" s="193" t="str">
        <f>IFERROR(VLOOKUP($E65,'Pre-Assessment Estimator'!$E$11:$AB$225,'Pre-Assessment Estimator'!AB$2,FALSE),"")</f>
        <v/>
      </c>
      <c r="BY65" s="193" t="str">
        <f>IFERROR(VLOOKUP($E65,'Pre-Assessment Estimator'!$E$11:$AI$225,'Pre-Assessment Estimator'!AI$2,FALSE),"")</f>
        <v/>
      </c>
      <c r="BZ65" s="193" t="str">
        <f t="shared" ref="BZ65:CA69" si="126">IFERROR(VLOOKUP($BX65,$E$292:$H$325,F$290,FALSE),"")</f>
        <v/>
      </c>
      <c r="CA65" s="193" t="str">
        <f t="shared" si="126"/>
        <v/>
      </c>
      <c r="CB65" s="193"/>
      <c r="CC65" s="96" t="str">
        <f>IFERROR(VLOOKUP($BX65,$E$292:$H$325,I$290,FALSE),"")</f>
        <v/>
      </c>
    </row>
    <row r="66" spans="1:87" ht="15.75" thickBot="1" x14ac:dyDescent="0.3">
      <c r="A66" s="96">
        <v>58</v>
      </c>
      <c r="B66" s="96" t="s">
        <v>884</v>
      </c>
      <c r="D66" s="201"/>
      <c r="E66" s="202" t="s">
        <v>215</v>
      </c>
      <c r="F66" s="773">
        <f>F39+F46+F51+F56+F59+F63</f>
        <v>19</v>
      </c>
      <c r="G66" s="773">
        <f t="shared" ref="G66:R66" si="127">G39+G46+G51+G56+G59+G63</f>
        <v>19</v>
      </c>
      <c r="H66" s="773">
        <f t="shared" si="127"/>
        <v>20</v>
      </c>
      <c r="I66" s="773">
        <f t="shared" si="127"/>
        <v>19</v>
      </c>
      <c r="J66" s="773">
        <f t="shared" si="127"/>
        <v>19</v>
      </c>
      <c r="K66" s="773">
        <f t="shared" si="127"/>
        <v>19</v>
      </c>
      <c r="L66" s="773">
        <f t="shared" si="127"/>
        <v>19</v>
      </c>
      <c r="M66" s="773">
        <f t="shared" si="127"/>
        <v>21</v>
      </c>
      <c r="N66" s="773">
        <f t="shared" si="127"/>
        <v>21</v>
      </c>
      <c r="O66" s="773">
        <f t="shared" si="127"/>
        <v>19</v>
      </c>
      <c r="P66" s="773">
        <f t="shared" si="127"/>
        <v>19</v>
      </c>
      <c r="Q66" s="773">
        <f t="shared" ref="Q66" si="128">Q39+Q46+Q51+Q56+Q59+Q63</f>
        <v>19</v>
      </c>
      <c r="R66" s="773">
        <f t="shared" si="127"/>
        <v>19</v>
      </c>
      <c r="T66" s="226">
        <f>HLOOKUP($E$6,$F$9:$R$231,$A66,FALSE)</f>
        <v>19</v>
      </c>
      <c r="U66" s="204"/>
      <c r="V66" s="205"/>
      <c r="W66" s="205"/>
      <c r="X66" s="205"/>
      <c r="Y66" s="1180"/>
      <c r="Z66" s="206"/>
      <c r="AA66" s="773">
        <f t="shared" ref="AA66:AG66" si="129">AA39+AA46+AA51+AA56+AA59+AA63</f>
        <v>0</v>
      </c>
      <c r="AB66" s="773">
        <f t="shared" si="129"/>
        <v>19</v>
      </c>
      <c r="AD66" s="208">
        <f t="shared" si="129"/>
        <v>0.16000000000000003</v>
      </c>
      <c r="AE66" s="208">
        <f t="shared" si="129"/>
        <v>0</v>
      </c>
      <c r="AF66" s="208">
        <f t="shared" si="129"/>
        <v>0</v>
      </c>
      <c r="AG66" s="208">
        <f t="shared" si="129"/>
        <v>0</v>
      </c>
      <c r="AI66" s="78">
        <f t="shared" ref="AI66:AK66" si="130">AI39+AI46+AI51+AI56+AI59+AI63</f>
        <v>0</v>
      </c>
      <c r="AJ66" s="78">
        <f t="shared" si="130"/>
        <v>0</v>
      </c>
      <c r="AK66" s="78">
        <f t="shared" si="130"/>
        <v>0</v>
      </c>
      <c r="AM66" s="139"/>
      <c r="AN66" s="139"/>
      <c r="AO66" s="139"/>
      <c r="AP66" s="139"/>
      <c r="AQ66" s="139"/>
      <c r="AS66" s="139"/>
      <c r="AT66" s="139"/>
      <c r="AU66" s="139"/>
      <c r="AV66" s="139"/>
      <c r="AW66" s="139"/>
      <c r="AY66" s="97"/>
      <c r="AZ66" s="209"/>
      <c r="BA66" s="97"/>
      <c r="BB66" s="97"/>
      <c r="BC66" s="97"/>
      <c r="BW66" s="202"/>
      <c r="BX66" s="202" t="str">
        <f>IFERROR(VLOOKUP($E66,'Pre-Assessment Estimator'!$E$11:$AB$225,'Pre-Assessment Estimator'!AB$2,FALSE),"")</f>
        <v/>
      </c>
      <c r="BY66" s="202" t="str">
        <f>IFERROR(VLOOKUP($E66,'Pre-Assessment Estimator'!$E$11:$AI$225,'Pre-Assessment Estimator'!AI$2,FALSE),"")</f>
        <v/>
      </c>
      <c r="BZ66" s="202" t="str">
        <f t="shared" si="126"/>
        <v/>
      </c>
      <c r="CA66" s="202" t="str">
        <f t="shared" si="126"/>
        <v/>
      </c>
      <c r="CB66" s="202"/>
      <c r="CC66" s="96" t="str">
        <f>IFERROR(VLOOKUP($BX66,$E$292:$H$325,I$290,FALSE),"")</f>
        <v/>
      </c>
    </row>
    <row r="67" spans="1:87" ht="15.75" thickBot="1" x14ac:dyDescent="0.3">
      <c r="A67" s="96">
        <v>59</v>
      </c>
      <c r="AI67" s="3"/>
      <c r="AJ67" s="3"/>
      <c r="AK67" s="3"/>
      <c r="AM67" s="139"/>
      <c r="AN67" s="139"/>
      <c r="AO67" s="139"/>
      <c r="AP67" s="139"/>
      <c r="AQ67" s="139"/>
      <c r="AS67" s="139"/>
      <c r="AT67" s="139"/>
      <c r="AU67" s="139"/>
      <c r="AV67" s="139"/>
      <c r="AW67" s="139"/>
      <c r="AY67" s="97"/>
      <c r="AZ67" s="97"/>
      <c r="BA67" s="97"/>
      <c r="BB67" s="97"/>
      <c r="BC67" s="97"/>
      <c r="BX67" s="96" t="str">
        <f>IFERROR(VLOOKUP($E67,'Pre-Assessment Estimator'!$E$11:$AB$225,'Pre-Assessment Estimator'!AB$2,FALSE),"")</f>
        <v/>
      </c>
      <c r="BY67" s="96" t="str">
        <f>IFERROR(VLOOKUP($E67,'Pre-Assessment Estimator'!$E$11:$AI$225,'Pre-Assessment Estimator'!AI$2,FALSE),"")</f>
        <v/>
      </c>
      <c r="BZ67" s="96" t="str">
        <f t="shared" si="126"/>
        <v/>
      </c>
      <c r="CA67" s="96" t="str">
        <f t="shared" si="126"/>
        <v/>
      </c>
      <c r="CC67" s="96" t="str">
        <f>IFERROR(VLOOKUP($BX67,$E$292:$H$325,I$290,FALSE),"")</f>
        <v/>
      </c>
    </row>
    <row r="68" spans="1:87" ht="60.75" thickBot="1" x14ac:dyDescent="0.3">
      <c r="A68" s="96">
        <v>60</v>
      </c>
      <c r="D68" s="145"/>
      <c r="E68" s="146" t="s">
        <v>67</v>
      </c>
      <c r="F68" s="1243" t="str">
        <f>$F$9</f>
        <v>Office</v>
      </c>
      <c r="G68" s="1243" t="str">
        <f>$G$9</f>
        <v>Retail</v>
      </c>
      <c r="H68" s="1247" t="str">
        <f>$H$9</f>
        <v>Residential</v>
      </c>
      <c r="I68" s="1243" t="str">
        <f>$I$9</f>
        <v>Industrial</v>
      </c>
      <c r="J68" s="1245" t="str">
        <f>$J$9</f>
        <v>Healthcare</v>
      </c>
      <c r="K68" s="1245" t="str">
        <f>$K$9</f>
        <v>Prison</v>
      </c>
      <c r="L68" s="1245" t="str">
        <f>$L$9</f>
        <v>Law Court</v>
      </c>
      <c r="M68" s="1249" t="str">
        <f>$M$9</f>
        <v>Residential institution (long term stay)</v>
      </c>
      <c r="N68" s="918" t="str">
        <f>$N$9</f>
        <v>Residential institution (short term stay)</v>
      </c>
      <c r="O68" s="918" t="str">
        <f>$O$9</f>
        <v>Non-residential institution</v>
      </c>
      <c r="P68" s="918" t="str">
        <f>$P$9</f>
        <v>Assembly and leisure</v>
      </c>
      <c r="Q68" s="1245" t="str">
        <f>$Q$9</f>
        <v>Education</v>
      </c>
      <c r="R68" s="857" t="str">
        <f>$R$9</f>
        <v>Other</v>
      </c>
      <c r="T68" s="138" t="str">
        <f>$E$6</f>
        <v>Office</v>
      </c>
      <c r="U68" s="210"/>
      <c r="V68" s="211"/>
      <c r="W68" s="211"/>
      <c r="X68" s="211"/>
      <c r="Y68" s="1167" t="s">
        <v>413</v>
      </c>
      <c r="Z68" s="347" t="s">
        <v>336</v>
      </c>
      <c r="AA68" s="150" t="s">
        <v>215</v>
      </c>
      <c r="AB68" s="59" t="s">
        <v>15</v>
      </c>
      <c r="AI68" s="42"/>
      <c r="AJ68" s="60"/>
      <c r="AK68" s="60"/>
      <c r="AM68" s="139"/>
      <c r="AN68" s="139"/>
      <c r="AO68" s="139"/>
      <c r="AP68" s="139"/>
      <c r="AQ68" s="139"/>
      <c r="AS68" s="139"/>
      <c r="AT68" s="139"/>
      <c r="AU68" s="139"/>
      <c r="AV68" s="139"/>
      <c r="AW68" s="139"/>
      <c r="AY68" s="97"/>
      <c r="AZ68" s="97"/>
      <c r="BA68" s="97"/>
      <c r="BB68" s="97"/>
      <c r="BC68" s="97"/>
      <c r="BO68" s="60"/>
      <c r="BP68" s="60"/>
      <c r="BQ68" s="60"/>
      <c r="BR68" s="60"/>
      <c r="BS68" s="60"/>
      <c r="BT68" s="60"/>
      <c r="BW68" s="146"/>
      <c r="BX68" s="146" t="str">
        <f>E68</f>
        <v>Energy</v>
      </c>
      <c r="BY68" s="146">
        <f>IFERROR(VLOOKUP($E68,'Pre-Assessment Estimator'!$E$11:$AI$225,'Pre-Assessment Estimator'!AI$2,FALSE),"")</f>
        <v>0</v>
      </c>
      <c r="BZ68" s="146" t="str">
        <f t="shared" si="126"/>
        <v/>
      </c>
      <c r="CA68" s="146" t="str">
        <f t="shared" si="126"/>
        <v/>
      </c>
      <c r="CB68" s="146"/>
      <c r="CC68" s="96" t="str">
        <f>IFERROR(VLOOKUP($BX68,$E$292:$H$325,I$290,FALSE),"")</f>
        <v/>
      </c>
    </row>
    <row r="69" spans="1:87" x14ac:dyDescent="0.25">
      <c r="A69" s="96">
        <v>61</v>
      </c>
      <c r="B69" s="137" t="str">
        <f>D69</f>
        <v>Ene 01</v>
      </c>
      <c r="C69" s="137" t="str">
        <f>B69</f>
        <v>Ene 01</v>
      </c>
      <c r="D69" s="833" t="s">
        <v>136</v>
      </c>
      <c r="E69" s="831" t="s">
        <v>129</v>
      </c>
      <c r="F69" s="933">
        <f t="shared" ref="F69:R69" si="131">SUM(F70:F74)</f>
        <v>12</v>
      </c>
      <c r="G69" s="933">
        <f t="shared" si="131"/>
        <v>12</v>
      </c>
      <c r="H69" s="933">
        <f t="shared" si="131"/>
        <v>12</v>
      </c>
      <c r="I69" s="933">
        <f t="shared" si="131"/>
        <v>12</v>
      </c>
      <c r="J69" s="933">
        <f t="shared" si="131"/>
        <v>12</v>
      </c>
      <c r="K69" s="933">
        <f t="shared" si="131"/>
        <v>12</v>
      </c>
      <c r="L69" s="933">
        <f t="shared" si="131"/>
        <v>12</v>
      </c>
      <c r="M69" s="933">
        <f t="shared" si="131"/>
        <v>12</v>
      </c>
      <c r="N69" s="933">
        <f t="shared" si="131"/>
        <v>12</v>
      </c>
      <c r="O69" s="933">
        <f t="shared" si="131"/>
        <v>12</v>
      </c>
      <c r="P69" s="933">
        <f t="shared" si="131"/>
        <v>12</v>
      </c>
      <c r="Q69" s="933">
        <f t="shared" ref="Q69" si="132">SUM(Q70:Q74)</f>
        <v>12</v>
      </c>
      <c r="R69" s="933">
        <f t="shared" si="131"/>
        <v>12</v>
      </c>
      <c r="T69" s="150">
        <f t="shared" ref="T69:T81" si="133">HLOOKUP($E$6,$F$9:$R$231,$A69,FALSE)</f>
        <v>12</v>
      </c>
      <c r="U69" s="222"/>
      <c r="V69" s="230"/>
      <c r="W69" s="230"/>
      <c r="X69" s="230">
        <f>'Manuell filtrering og justering'!E29</f>
        <v>0</v>
      </c>
      <c r="Y69" s="230"/>
      <c r="Z69" s="958">
        <f t="shared" ref="Z69:AB69" si="134">SUM(Z70:Z74)</f>
        <v>24</v>
      </c>
      <c r="AA69" s="963">
        <f t="shared" ref="AA69:AA79" si="135">IF(SUM(U69:Y69)&gt;T69,T69,SUM(U69:Y69))</f>
        <v>0</v>
      </c>
      <c r="AB69" s="1067">
        <f t="shared" si="134"/>
        <v>12</v>
      </c>
      <c r="AD69" s="171">
        <f t="shared" ref="AD69:AD96" si="136">(Ene_Weight/Ene_Credits)*AB69</f>
        <v>6.2222222222222234E-2</v>
      </c>
      <c r="AE69" s="921">
        <f>SUM(AE70:AE74)</f>
        <v>0</v>
      </c>
      <c r="AF69" s="921">
        <f t="shared" ref="AF69:AG69" si="137">SUM(AF70:AF74)</f>
        <v>0</v>
      </c>
      <c r="AG69" s="921">
        <f t="shared" si="137"/>
        <v>0</v>
      </c>
      <c r="AI69" s="958">
        <f t="shared" ref="AI69:AK69" si="138">SUM(AI70:AI74)</f>
        <v>0</v>
      </c>
      <c r="AJ69" s="958">
        <f t="shared" si="138"/>
        <v>0</v>
      </c>
      <c r="AK69" s="958">
        <f t="shared" si="138"/>
        <v>0</v>
      </c>
      <c r="AM69" s="173"/>
      <c r="AN69" s="290"/>
      <c r="AO69" s="290"/>
      <c r="AP69" s="299"/>
      <c r="AQ69" s="300"/>
      <c r="AS69" s="298"/>
      <c r="AT69" s="299"/>
      <c r="AU69" s="299"/>
      <c r="AV69" s="299"/>
      <c r="AW69" s="300"/>
      <c r="AY69" s="174"/>
      <c r="AZ69" s="175"/>
      <c r="BA69" s="175"/>
      <c r="BB69" s="175"/>
      <c r="BC69" s="228"/>
      <c r="BD69" s="174">
        <f t="shared" si="60"/>
        <v>9</v>
      </c>
      <c r="BE69" s="164" t="str">
        <f t="shared" ref="BE69:BE96" si="139">VLOOKUP(BD69,$BO$283:$BT$289,6,FALSE)</f>
        <v>N/A</v>
      </c>
      <c r="BF69" s="178"/>
      <c r="BG69" s="174">
        <f t="shared" ref="BG69:BG96" si="140">IF(BC69=0,9,IF(AJ69&gt;=BC69,5,IF(AJ69&gt;=BB69,4,IF(AJ69&gt;=BA69,3,IF(AJ69&gt;=AZ69,2,IF(AJ69&lt;AY69,0,1))))))</f>
        <v>9</v>
      </c>
      <c r="BH69" s="164" t="str">
        <f t="shared" ref="BH69:BH96" si="141">VLOOKUP(BG69,$BO$283:$BT$289,6,FALSE)</f>
        <v>N/A</v>
      </c>
      <c r="BI69" s="178"/>
      <c r="BJ69" s="174">
        <f t="shared" si="28"/>
        <v>9</v>
      </c>
      <c r="BK69" s="164" t="str">
        <f t="shared" ref="BK69:BK96" si="142">VLOOKUP(BJ69,$BO$283:$BT$289,6,FALSE)</f>
        <v>N/A</v>
      </c>
      <c r="BL69" s="178"/>
      <c r="BO69" s="167"/>
      <c r="BP69" s="167"/>
      <c r="BQ69" s="167" t="str">
        <f t="shared" si="15"/>
        <v/>
      </c>
      <c r="BR69" s="167">
        <f t="shared" si="55"/>
        <v>9</v>
      </c>
      <c r="BS69" s="167">
        <f t="shared" si="56"/>
        <v>9</v>
      </c>
      <c r="BT69" s="167">
        <f t="shared" si="57"/>
        <v>9</v>
      </c>
      <c r="BW69" s="164" t="str">
        <f>D69</f>
        <v>Ene 01</v>
      </c>
      <c r="BX69" s="164" t="str">
        <f>IFERROR(VLOOKUP($E69,'Pre-Assessment Estimator'!$E$11:$AB$225,'Pre-Assessment Estimator'!AB$2,FALSE),"")</f>
        <v>No</v>
      </c>
      <c r="BY69" s="164">
        <f>IFERROR(VLOOKUP($E69,'Pre-Assessment Estimator'!$E$11:$AI$225,'Pre-Assessment Estimator'!AI$2,FALSE),"")</f>
        <v>0</v>
      </c>
      <c r="BZ69" s="164">
        <f t="shared" si="126"/>
        <v>1</v>
      </c>
      <c r="CA69" s="164">
        <f t="shared" si="126"/>
        <v>0</v>
      </c>
      <c r="CB69" s="164"/>
      <c r="CC69" s="96" t="str">
        <f>IFERROR(VLOOKUP($BX69,$E$292:$H$325,I$290,FALSE),"")</f>
        <v/>
      </c>
    </row>
    <row r="70" spans="1:87" x14ac:dyDescent="0.25">
      <c r="A70" s="96">
        <v>62</v>
      </c>
      <c r="B70" s="96" t="str">
        <f t="shared" ref="B70:B74" si="143">$D$69&amp;D70</f>
        <v>Ene 01a</v>
      </c>
      <c r="C70" s="96" t="str">
        <f t="shared" si="19"/>
        <v>Ene 01</v>
      </c>
      <c r="D70" s="163" t="s">
        <v>694</v>
      </c>
      <c r="E70" s="917" t="s">
        <v>621</v>
      </c>
      <c r="F70" s="775">
        <v>2</v>
      </c>
      <c r="G70" s="775">
        <v>2</v>
      </c>
      <c r="H70" s="775">
        <v>2</v>
      </c>
      <c r="I70" s="775">
        <v>2</v>
      </c>
      <c r="J70" s="775">
        <v>2</v>
      </c>
      <c r="K70" s="775">
        <v>2</v>
      </c>
      <c r="L70" s="775">
        <v>2</v>
      </c>
      <c r="M70" s="775">
        <v>2</v>
      </c>
      <c r="N70" s="775">
        <v>2</v>
      </c>
      <c r="O70" s="775">
        <v>2</v>
      </c>
      <c r="P70" s="775">
        <v>2</v>
      </c>
      <c r="Q70" s="775">
        <v>2</v>
      </c>
      <c r="R70" s="775">
        <v>2</v>
      </c>
      <c r="T70" s="221">
        <f t="shared" si="133"/>
        <v>2</v>
      </c>
      <c r="U70" s="166"/>
      <c r="V70" s="167"/>
      <c r="W70" s="167"/>
      <c r="X70" s="167"/>
      <c r="Y70" s="168"/>
      <c r="Z70" s="168">
        <f>VLOOKUP(B70,'Manuell filtrering og justering'!$A$7:$H$107,'Manuell filtrering og justering'!$H$1,FALSE)</f>
        <v>0</v>
      </c>
      <c r="AA70" s="169">
        <f t="shared" si="135"/>
        <v>0</v>
      </c>
      <c r="AB70" s="170">
        <f>IF($AC$5='Manuell filtrering og justering'!$J$2,Z70,(T70-AA70))</f>
        <v>2</v>
      </c>
      <c r="AD70" s="171">
        <f t="shared" si="136"/>
        <v>1.0370370370370372E-2</v>
      </c>
      <c r="AE70" s="171">
        <f t="shared" ref="AE70:AE96" si="144">IF(AB70=0,0,(AD70/AB70)*AI70)</f>
        <v>0</v>
      </c>
      <c r="AF70" s="171">
        <f t="shared" ref="AF70:AF96" si="145">IF(AB70=0,0,(AD70/AB70)*AJ70)</f>
        <v>0</v>
      </c>
      <c r="AG70" s="171">
        <f t="shared" ref="AG70:AG96" si="146">IF(AB70=0,0,(AD70/AB70)*AK70)</f>
        <v>0</v>
      </c>
      <c r="AI70" s="1068">
        <f>IF(AND(ADPT&lt;&gt;ADPT02,OR(AI52&gt;0,ADIND_option03="No")),IF(VLOOKUP(E70,'Pre-Assessment Estimator'!$E$11:$Z$225,'Pre-Assessment Estimator'!$G$2,FALSE)&gt;AB70,AB70,VLOOKUP(E70,'Pre-Assessment Estimator'!$E$11:$Z$225,'Pre-Assessment Estimator'!$G$2,FALSE)),0)</f>
        <v>0</v>
      </c>
      <c r="AJ70" s="1068">
        <f>IF(AND(ADPT&lt;&gt;ADPT02,OR(AJ52&gt;0,ADIND_option03="No")),IF(VLOOKUP(E70,'Pre-Assessment Estimator'!$E$11:$Z$225,'Pre-Assessment Estimator'!$N$2,FALSE)&gt;AB70,AB70,VLOOKUP(E70,'Pre-Assessment Estimator'!$E$11:$Z$225,'Pre-Assessment Estimator'!$N$2,FALSE)),0)</f>
        <v>0</v>
      </c>
      <c r="AK70" s="1068">
        <f>IF(AND(ADPT&lt;&gt;ADPT02,OR(AK52&gt;0,ADIND_option03="No")),IF(VLOOKUP(E70,'Pre-Assessment Estimator'!$E$11:$Z$225,'Pre-Assessment Estimator'!$U$2,FALSE)&gt;AB70,AB70,VLOOKUP(E70,'Pre-Assessment Estimator'!$E$11:$Z$225,'Pre-Assessment Estimator'!$U$2,FALSE)),0)</f>
        <v>0</v>
      </c>
      <c r="AM70" s="826"/>
      <c r="AN70" s="827"/>
      <c r="AO70" s="827"/>
      <c r="AP70" s="836"/>
      <c r="AQ70" s="837"/>
      <c r="AS70" s="835"/>
      <c r="AT70" s="836"/>
      <c r="AU70" s="836"/>
      <c r="AV70" s="836"/>
      <c r="AW70" s="837"/>
      <c r="AY70" s="828"/>
      <c r="AZ70" s="829"/>
      <c r="BA70" s="829"/>
      <c r="BB70" s="829"/>
      <c r="BC70" s="848"/>
      <c r="BD70" s="182">
        <f t="shared" ref="BD70:BD74" si="147">IF(BC70=0,9,IF((AI70-CG70)&gt;=BC70,5,IF((AI70-CG70)&gt;=BB70,4,IF((AI70-CG70)&gt;=BA70,3,IF((AI70-CG70)&gt;=AZ70,2,IF((AI70-CG70)&lt;AY70,0,1))))))</f>
        <v>9</v>
      </c>
      <c r="BE70" s="164" t="str">
        <f t="shared" si="139"/>
        <v>N/A</v>
      </c>
      <c r="BF70" s="185"/>
      <c r="BG70" s="182">
        <f t="shared" ref="BG70:BG74" si="148">IF(BC70=0,9,IF((AJ70-CG70)&gt;=BC70,5,IF((AJ70-CG70)&gt;=BB70,4,IF((AJ70-CG70)&gt;=BA70,3,IF((AJ70-CG70)&gt;=AZ70,2,IF((AJ70-CG70)&lt;AY70,0,1))))))</f>
        <v>9</v>
      </c>
      <c r="BH70" s="164" t="str">
        <f t="shared" si="141"/>
        <v>N/A</v>
      </c>
      <c r="BI70" s="185"/>
      <c r="BJ70" s="182">
        <f t="shared" ref="BJ70:BJ74" si="149">IF(BC70=0,9,IF((AK70-CG70)&gt;=BC70,5,IF((AK70-CG70)&gt;=BB70,4,IF((AK70-CG70)&gt;=BA70,3,IF((AK70-CG70)&gt;=AZ70,2,IF((AK70-CG70)&lt;AY70,0,1))))))</f>
        <v>9</v>
      </c>
      <c r="BK70" s="164" t="str">
        <f t="shared" si="142"/>
        <v>N/A</v>
      </c>
      <c r="BL70" s="830"/>
      <c r="BO70" s="167"/>
      <c r="BP70" s="167"/>
      <c r="BQ70" s="167" t="str">
        <f t="shared" si="15"/>
        <v/>
      </c>
      <c r="BR70" s="167">
        <f t="shared" si="55"/>
        <v>9</v>
      </c>
      <c r="BS70" s="167">
        <f t="shared" si="56"/>
        <v>9</v>
      </c>
      <c r="BT70" s="167">
        <f t="shared" si="57"/>
        <v>9</v>
      </c>
      <c r="BW70" s="164"/>
      <c r="BX70" s="164"/>
      <c r="BY70" s="164"/>
      <c r="BZ70" s="164"/>
      <c r="CA70" s="164"/>
      <c r="CB70" s="164"/>
    </row>
    <row r="71" spans="1:87" x14ac:dyDescent="0.25">
      <c r="A71" s="96">
        <v>63</v>
      </c>
      <c r="B71" s="96" t="str">
        <f t="shared" si="143"/>
        <v>Ene 01b</v>
      </c>
      <c r="C71" s="96" t="str">
        <f t="shared" si="19"/>
        <v>Ene 01</v>
      </c>
      <c r="D71" s="163" t="s">
        <v>697</v>
      </c>
      <c r="E71" s="1108" t="s">
        <v>622</v>
      </c>
      <c r="F71" s="775">
        <v>1</v>
      </c>
      <c r="G71" s="775">
        <v>1</v>
      </c>
      <c r="H71" s="775">
        <v>1</v>
      </c>
      <c r="I71" s="775">
        <v>1</v>
      </c>
      <c r="J71" s="775">
        <v>1</v>
      </c>
      <c r="K71" s="775">
        <v>1</v>
      </c>
      <c r="L71" s="775">
        <v>1</v>
      </c>
      <c r="M71" s="775">
        <v>1</v>
      </c>
      <c r="N71" s="775">
        <v>1</v>
      </c>
      <c r="O71" s="775">
        <v>1</v>
      </c>
      <c r="P71" s="775">
        <v>1</v>
      </c>
      <c r="Q71" s="775">
        <v>1</v>
      </c>
      <c r="R71" s="775">
        <v>1</v>
      </c>
      <c r="T71" s="221">
        <f t="shared" si="133"/>
        <v>1</v>
      </c>
      <c r="U71" s="166"/>
      <c r="V71" s="167"/>
      <c r="W71" s="167"/>
      <c r="X71" s="167"/>
      <c r="Y71" s="168"/>
      <c r="Z71" s="168">
        <f>VLOOKUP(B71,'Manuell filtrering og justering'!$A$7:$H$107,'Manuell filtrering og justering'!$H$1,FALSE)</f>
        <v>1</v>
      </c>
      <c r="AA71" s="169">
        <f t="shared" si="135"/>
        <v>0</v>
      </c>
      <c r="AB71" s="170">
        <f>IF($AC$5='Manuell filtrering og justering'!$J$2,Z71,(T71-AA71))</f>
        <v>1</v>
      </c>
      <c r="AD71" s="171">
        <f t="shared" si="136"/>
        <v>5.1851851851851859E-3</v>
      </c>
      <c r="AE71" s="171">
        <f t="shared" si="144"/>
        <v>0</v>
      </c>
      <c r="AF71" s="171">
        <f t="shared" si="145"/>
        <v>0</v>
      </c>
      <c r="AG71" s="171">
        <f t="shared" si="146"/>
        <v>0</v>
      </c>
      <c r="AI71" s="172">
        <f>IF(VLOOKUP(E71,'Pre-Assessment Estimator'!$E$11:$Z$225,'Pre-Assessment Estimator'!$G$2,FALSE)&gt;AB71,AB71,VLOOKUP(E71,'Pre-Assessment Estimator'!$E$11:$Z$225,'Pre-Assessment Estimator'!$G$2,FALSE))</f>
        <v>0</v>
      </c>
      <c r="AJ71" s="172">
        <f>IF(VLOOKUP(E71,'Pre-Assessment Estimator'!$E$11:$Z$225,'Pre-Assessment Estimator'!$N$2,FALSE)&gt;AB71,AB71,VLOOKUP(E71,'Pre-Assessment Estimator'!$E$11:$Z$225,'Pre-Assessment Estimator'!$N$2,FALSE))</f>
        <v>0</v>
      </c>
      <c r="AK71" s="172">
        <f>IF(VLOOKUP(E71,'Pre-Assessment Estimator'!$E$11:$Z$225,'Pre-Assessment Estimator'!$U$2,FALSE)&gt;AB71,AB71,VLOOKUP(E71,'Pre-Assessment Estimator'!$E$11:$Z$225,'Pre-Assessment Estimator'!$U$2,FALSE))</f>
        <v>0</v>
      </c>
      <c r="AM71" s="826"/>
      <c r="AN71" s="827"/>
      <c r="AO71" s="827"/>
      <c r="AP71" s="836"/>
      <c r="AQ71" s="837"/>
      <c r="AS71" s="835"/>
      <c r="AT71" s="836"/>
      <c r="AU71" s="836"/>
      <c r="AV71" s="836"/>
      <c r="AW71" s="837"/>
      <c r="AY71" s="828"/>
      <c r="AZ71" s="829"/>
      <c r="BA71" s="829"/>
      <c r="BB71" s="829"/>
      <c r="BC71" s="848"/>
      <c r="BD71" s="182">
        <f t="shared" si="147"/>
        <v>9</v>
      </c>
      <c r="BE71" s="164" t="str">
        <f t="shared" si="139"/>
        <v>N/A</v>
      </c>
      <c r="BF71" s="185"/>
      <c r="BG71" s="182">
        <f t="shared" si="148"/>
        <v>9</v>
      </c>
      <c r="BH71" s="164" t="str">
        <f t="shared" si="141"/>
        <v>N/A</v>
      </c>
      <c r="BI71" s="185"/>
      <c r="BJ71" s="182">
        <f t="shared" si="149"/>
        <v>9</v>
      </c>
      <c r="BK71" s="164" t="str">
        <f t="shared" si="142"/>
        <v>N/A</v>
      </c>
      <c r="BL71" s="830"/>
      <c r="BO71" s="167"/>
      <c r="BP71" s="167"/>
      <c r="BQ71" s="167" t="str">
        <f t="shared" si="15"/>
        <v/>
      </c>
      <c r="BR71" s="167">
        <f t="shared" si="55"/>
        <v>9</v>
      </c>
      <c r="BS71" s="167">
        <f t="shared" si="56"/>
        <v>9</v>
      </c>
      <c r="BT71" s="167">
        <f t="shared" si="57"/>
        <v>9</v>
      </c>
      <c r="BW71" s="164"/>
      <c r="BX71" s="164"/>
      <c r="BY71" s="164"/>
      <c r="BZ71" s="164"/>
      <c r="CA71" s="164"/>
      <c r="CB71" s="164"/>
    </row>
    <row r="72" spans="1:87" x14ac:dyDescent="0.25">
      <c r="A72" s="96">
        <v>64</v>
      </c>
      <c r="B72" s="96" t="str">
        <f t="shared" si="143"/>
        <v>Ene 01c</v>
      </c>
      <c r="C72" s="96" t="str">
        <f t="shared" si="19"/>
        <v>Ene 01</v>
      </c>
      <c r="D72" s="163" t="s">
        <v>698</v>
      </c>
      <c r="E72" s="1108" t="s">
        <v>623</v>
      </c>
      <c r="F72" s="775">
        <v>4</v>
      </c>
      <c r="G72" s="775">
        <v>4</v>
      </c>
      <c r="H72" s="775">
        <v>4</v>
      </c>
      <c r="I72" s="775">
        <v>4</v>
      </c>
      <c r="J72" s="775">
        <v>4</v>
      </c>
      <c r="K72" s="775">
        <v>4</v>
      </c>
      <c r="L72" s="775">
        <v>4</v>
      </c>
      <c r="M72" s="775">
        <v>4</v>
      </c>
      <c r="N72" s="775">
        <v>4</v>
      </c>
      <c r="O72" s="775">
        <v>4</v>
      </c>
      <c r="P72" s="775">
        <v>4</v>
      </c>
      <c r="Q72" s="775">
        <v>4</v>
      </c>
      <c r="R72" s="775">
        <v>4</v>
      </c>
      <c r="T72" s="221">
        <f t="shared" si="133"/>
        <v>4</v>
      </c>
      <c r="U72" s="166"/>
      <c r="V72" s="167"/>
      <c r="W72" s="167"/>
      <c r="X72" s="167"/>
      <c r="Y72" s="168"/>
      <c r="Z72" s="168">
        <f>VLOOKUP(B72,'Manuell filtrering og justering'!$A$7:$H$107,'Manuell filtrering og justering'!$H$1,FALSE)</f>
        <v>22</v>
      </c>
      <c r="AA72" s="169">
        <f t="shared" si="135"/>
        <v>0</v>
      </c>
      <c r="AB72" s="170">
        <f>IF($AC$5='Manuell filtrering og justering'!$J$2,Z72,(T72-AA72))</f>
        <v>4</v>
      </c>
      <c r="AD72" s="171">
        <f t="shared" si="136"/>
        <v>2.0740740740740744E-2</v>
      </c>
      <c r="AE72" s="171">
        <f t="shared" si="144"/>
        <v>0</v>
      </c>
      <c r="AF72" s="171">
        <f t="shared" si="145"/>
        <v>0</v>
      </c>
      <c r="AG72" s="171">
        <f t="shared" si="146"/>
        <v>0</v>
      </c>
      <c r="AI72" s="172">
        <f>IF(VLOOKUP(E72,'Pre-Assessment Estimator'!$E$11:$Z$225,'Pre-Assessment Estimator'!$G$2,FALSE)&gt;AB72,AB72,VLOOKUP(E72,'Pre-Assessment Estimator'!$E$11:$Z$225,'Pre-Assessment Estimator'!$G$2,FALSE))</f>
        <v>0</v>
      </c>
      <c r="AJ72" s="172">
        <f>IF(VLOOKUP(E72,'Pre-Assessment Estimator'!$E$11:$Z$225,'Pre-Assessment Estimator'!$N$2,FALSE)&gt;AB72,AB72,VLOOKUP(E72,'Pre-Assessment Estimator'!$E$11:$Z$225,'Pre-Assessment Estimator'!$N$2,FALSE))</f>
        <v>0</v>
      </c>
      <c r="AK72" s="172">
        <f>IF(VLOOKUP(E72,'Pre-Assessment Estimator'!$E$11:$Z$225,'Pre-Assessment Estimator'!$U$2,FALSE)&gt;AB72,AB72,VLOOKUP(E72,'Pre-Assessment Estimator'!$E$11:$Z$225,'Pre-Assessment Estimator'!$U$2,FALSE))</f>
        <v>0</v>
      </c>
      <c r="AM72" s="826"/>
      <c r="AN72" s="827"/>
      <c r="AO72" s="827"/>
      <c r="AP72" s="836">
        <v>1</v>
      </c>
      <c r="AQ72" s="837">
        <v>1</v>
      </c>
      <c r="AS72" s="835"/>
      <c r="AT72" s="836"/>
      <c r="AU72" s="836"/>
      <c r="AV72" s="836">
        <v>1</v>
      </c>
      <c r="AW72" s="837">
        <v>1</v>
      </c>
      <c r="AY72" s="828"/>
      <c r="AZ72" s="829"/>
      <c r="BA72" s="829"/>
      <c r="BB72" s="183">
        <f t="shared" ref="BB72" si="150">IF($E$6=$H$9,AV72,AP72)</f>
        <v>1</v>
      </c>
      <c r="BC72" s="187">
        <f>IF($E$6=$H$9,AW72,AQ72)</f>
        <v>1</v>
      </c>
      <c r="BD72" s="182">
        <f t="shared" si="147"/>
        <v>3</v>
      </c>
      <c r="BE72" s="164" t="str">
        <f t="shared" si="139"/>
        <v>Very Good</v>
      </c>
      <c r="BF72" s="185"/>
      <c r="BG72" s="182">
        <f t="shared" si="148"/>
        <v>3</v>
      </c>
      <c r="BH72" s="164" t="str">
        <f t="shared" si="141"/>
        <v>Very Good</v>
      </c>
      <c r="BI72" s="185"/>
      <c r="BJ72" s="182">
        <f t="shared" si="149"/>
        <v>3</v>
      </c>
      <c r="BK72" s="164" t="str">
        <f t="shared" si="142"/>
        <v>Very Good</v>
      </c>
      <c r="BL72" s="830"/>
      <c r="BO72" s="167"/>
      <c r="BP72" s="167"/>
      <c r="BQ72" s="167" t="str">
        <f t="shared" si="15"/>
        <v/>
      </c>
      <c r="BR72" s="167">
        <f t="shared" si="55"/>
        <v>9</v>
      </c>
      <c r="BS72" s="167">
        <f t="shared" si="56"/>
        <v>9</v>
      </c>
      <c r="BT72" s="167">
        <f t="shared" si="57"/>
        <v>9</v>
      </c>
      <c r="BW72" s="164"/>
      <c r="BX72" s="164"/>
      <c r="BY72" s="164"/>
      <c r="BZ72" s="164"/>
      <c r="CA72" s="164"/>
      <c r="CB72" s="164"/>
    </row>
    <row r="73" spans="1:87" x14ac:dyDescent="0.25">
      <c r="A73" s="96">
        <v>65</v>
      </c>
      <c r="B73" s="96" t="str">
        <f t="shared" si="143"/>
        <v>Ene 01d</v>
      </c>
      <c r="C73" s="96" t="str">
        <f t="shared" si="19"/>
        <v>Ene 01</v>
      </c>
      <c r="D73" s="163" t="s">
        <v>696</v>
      </c>
      <c r="E73" s="1250" t="s">
        <v>1057</v>
      </c>
      <c r="F73" s="775">
        <v>1</v>
      </c>
      <c r="G73" s="775">
        <v>1</v>
      </c>
      <c r="H73" s="775">
        <v>1</v>
      </c>
      <c r="I73" s="775">
        <v>1</v>
      </c>
      <c r="J73" s="775">
        <v>1</v>
      </c>
      <c r="K73" s="775">
        <v>1</v>
      </c>
      <c r="L73" s="775">
        <v>1</v>
      </c>
      <c r="M73" s="775">
        <v>1</v>
      </c>
      <c r="N73" s="775">
        <v>1</v>
      </c>
      <c r="O73" s="775">
        <v>1</v>
      </c>
      <c r="P73" s="775">
        <v>1</v>
      </c>
      <c r="Q73" s="775">
        <v>1</v>
      </c>
      <c r="R73" s="775">
        <v>1</v>
      </c>
      <c r="T73" s="221">
        <f t="shared" si="133"/>
        <v>1</v>
      </c>
      <c r="U73" s="166"/>
      <c r="V73" s="167"/>
      <c r="W73" s="167"/>
      <c r="X73" s="167"/>
      <c r="Y73" s="168"/>
      <c r="Z73" s="168">
        <f>VLOOKUP(B73,'Manuell filtrering og justering'!$A$7:$H$107,'Manuell filtrering og justering'!$H$1,FALSE)</f>
        <v>1</v>
      </c>
      <c r="AA73" s="169">
        <f t="shared" si="135"/>
        <v>0</v>
      </c>
      <c r="AB73" s="170">
        <f>IF($AC$5='Manuell filtrering og justering'!$J$2,Z73,(T73-AA73))</f>
        <v>1</v>
      </c>
      <c r="AD73" s="171">
        <f t="shared" si="136"/>
        <v>5.1851851851851859E-3</v>
      </c>
      <c r="AE73" s="171">
        <f t="shared" si="144"/>
        <v>0</v>
      </c>
      <c r="AF73" s="171">
        <f t="shared" si="145"/>
        <v>0</v>
      </c>
      <c r="AG73" s="171">
        <f t="shared" si="146"/>
        <v>0</v>
      </c>
      <c r="AI73" s="172">
        <f>IF(VLOOKUP(E73,'Pre-Assessment Estimator'!$E$11:$Z$225,'Pre-Assessment Estimator'!$G$2,FALSE)&gt;AB73,AB73,VLOOKUP(E73,'Pre-Assessment Estimator'!$E$11:$Z$225,'Pre-Assessment Estimator'!$G$2,FALSE))</f>
        <v>0</v>
      </c>
      <c r="AJ73" s="172">
        <f>IF(VLOOKUP(E73,'Pre-Assessment Estimator'!$E$11:$Z$225,'Pre-Assessment Estimator'!$N$2,FALSE)&gt;AB73,AB73,VLOOKUP(E73,'Pre-Assessment Estimator'!$E$11:$Z$225,'Pre-Assessment Estimator'!$N$2,FALSE))</f>
        <v>0</v>
      </c>
      <c r="AK73" s="172">
        <f>IF(VLOOKUP(E73,'Pre-Assessment Estimator'!$E$11:$Z$225,'Pre-Assessment Estimator'!$U$2,FALSE)&gt;AB73,AB73,VLOOKUP(E73,'Pre-Assessment Estimator'!$E$11:$Z$225,'Pre-Assessment Estimator'!$U$2,FALSE))</f>
        <v>0</v>
      </c>
      <c r="AM73" s="826"/>
      <c r="AN73" s="827"/>
      <c r="AO73" s="827"/>
      <c r="AP73" s="836">
        <v>1</v>
      </c>
      <c r="AQ73" s="837">
        <v>1</v>
      </c>
      <c r="AS73" s="835"/>
      <c r="AT73" s="836"/>
      <c r="AU73" s="836"/>
      <c r="AV73" s="836">
        <v>1</v>
      </c>
      <c r="AW73" s="837">
        <v>1</v>
      </c>
      <c r="AY73" s="828"/>
      <c r="AZ73" s="829"/>
      <c r="BA73" s="829"/>
      <c r="BB73" s="183">
        <f t="shared" ref="BB73" si="151">IF($E$6=$H$9,AV73,AP73)</f>
        <v>1</v>
      </c>
      <c r="BC73" s="187">
        <f>IF($E$6=$H$9,AW73,AQ73)</f>
        <v>1</v>
      </c>
      <c r="BD73" s="182">
        <f t="shared" si="147"/>
        <v>3</v>
      </c>
      <c r="BE73" s="164" t="str">
        <f t="shared" si="139"/>
        <v>Very Good</v>
      </c>
      <c r="BF73" s="185"/>
      <c r="BG73" s="182">
        <f t="shared" si="148"/>
        <v>3</v>
      </c>
      <c r="BH73" s="164" t="str">
        <f t="shared" si="141"/>
        <v>Very Good</v>
      </c>
      <c r="BI73" s="185"/>
      <c r="BJ73" s="182">
        <f t="shared" si="149"/>
        <v>3</v>
      </c>
      <c r="BK73" s="164" t="str">
        <f t="shared" si="142"/>
        <v>Very Good</v>
      </c>
      <c r="BL73" s="830"/>
      <c r="BO73" s="189">
        <v>1</v>
      </c>
      <c r="BP73" s="167"/>
      <c r="BQ73" s="167">
        <f t="shared" si="15"/>
        <v>1</v>
      </c>
      <c r="BR73" s="167">
        <f t="shared" si="55"/>
        <v>0</v>
      </c>
      <c r="BS73" s="167">
        <f t="shared" si="56"/>
        <v>0</v>
      </c>
      <c r="BT73" s="167">
        <f t="shared" si="57"/>
        <v>0</v>
      </c>
      <c r="BW73" s="164"/>
      <c r="BX73" s="164"/>
      <c r="BY73" s="164"/>
      <c r="BZ73" s="164"/>
      <c r="CA73" s="164"/>
      <c r="CB73" s="164"/>
    </row>
    <row r="74" spans="1:87" x14ac:dyDescent="0.25">
      <c r="A74" s="96">
        <v>66</v>
      </c>
      <c r="B74" s="96" t="str">
        <f t="shared" si="143"/>
        <v>Ene 01e</v>
      </c>
      <c r="C74" s="96" t="str">
        <f t="shared" si="19"/>
        <v>Ene 01</v>
      </c>
      <c r="D74" s="163" t="s">
        <v>695</v>
      </c>
      <c r="E74" s="1108" t="s">
        <v>625</v>
      </c>
      <c r="F74" s="775">
        <v>4</v>
      </c>
      <c r="G74" s="775">
        <v>4</v>
      </c>
      <c r="H74" s="775">
        <v>4</v>
      </c>
      <c r="I74" s="775">
        <v>4</v>
      </c>
      <c r="J74" s="775">
        <v>4</v>
      </c>
      <c r="K74" s="775">
        <v>4</v>
      </c>
      <c r="L74" s="775">
        <v>4</v>
      </c>
      <c r="M74" s="775">
        <v>4</v>
      </c>
      <c r="N74" s="775">
        <v>4</v>
      </c>
      <c r="O74" s="775">
        <v>4</v>
      </c>
      <c r="P74" s="775">
        <v>4</v>
      </c>
      <c r="Q74" s="775">
        <v>4</v>
      </c>
      <c r="R74" s="775">
        <v>4</v>
      </c>
      <c r="T74" s="221">
        <f t="shared" si="133"/>
        <v>4</v>
      </c>
      <c r="U74" s="166"/>
      <c r="V74" s="167"/>
      <c r="W74" s="167"/>
      <c r="X74" s="167"/>
      <c r="Y74" s="169">
        <f>IF($Y$4=$Y$6,T74,0)</f>
        <v>0</v>
      </c>
      <c r="Z74" s="168">
        <f>VLOOKUP(B74,'Manuell filtrering og justering'!$A$7:$H$107,'Manuell filtrering og justering'!$H$1,FALSE)</f>
        <v>0</v>
      </c>
      <c r="AA74" s="169">
        <f t="shared" si="135"/>
        <v>0</v>
      </c>
      <c r="AB74" s="170">
        <f>IF($AC$5='Manuell filtrering og justering'!$J$2,Z74,(T74-AA74))</f>
        <v>4</v>
      </c>
      <c r="AD74" s="171">
        <f t="shared" si="136"/>
        <v>2.0740740740740744E-2</v>
      </c>
      <c r="AE74" s="171">
        <f t="shared" si="144"/>
        <v>0</v>
      </c>
      <c r="AF74" s="171">
        <f t="shared" si="145"/>
        <v>0</v>
      </c>
      <c r="AG74" s="171">
        <f t="shared" si="146"/>
        <v>0</v>
      </c>
      <c r="AI74" s="172">
        <f>IF(VLOOKUP(E74,'Pre-Assessment Estimator'!$E$11:$Z$225,'Pre-Assessment Estimator'!$G$2,FALSE)&gt;AB74,AB74,VLOOKUP(E74,'Pre-Assessment Estimator'!$E$11:$Z$225,'Pre-Assessment Estimator'!$G$2,FALSE))</f>
        <v>0</v>
      </c>
      <c r="AJ74" s="172">
        <f>IF(VLOOKUP(E74,'Pre-Assessment Estimator'!$E$11:$Z$225,'Pre-Assessment Estimator'!$N$2,FALSE)&gt;AB74,AB74,VLOOKUP(E74,'Pre-Assessment Estimator'!$E$11:$Z$225,'Pre-Assessment Estimator'!$N$2,FALSE))</f>
        <v>0</v>
      </c>
      <c r="AK74" s="172">
        <f>IF(VLOOKUP(E74,'Pre-Assessment Estimator'!$E$11:$Z$225,'Pre-Assessment Estimator'!$U$2,FALSE)&gt;AB74,AB74,VLOOKUP(E74,'Pre-Assessment Estimator'!$E$11:$Z$225,'Pre-Assessment Estimator'!$U$2,FALSE))</f>
        <v>0</v>
      </c>
      <c r="AM74" s="826"/>
      <c r="AN74" s="827"/>
      <c r="AO74" s="827"/>
      <c r="AP74" s="836"/>
      <c r="AQ74" s="837"/>
      <c r="AS74" s="835"/>
      <c r="AT74" s="836"/>
      <c r="AU74" s="836"/>
      <c r="AV74" s="836"/>
      <c r="AW74" s="837"/>
      <c r="AY74" s="828"/>
      <c r="AZ74" s="829"/>
      <c r="BA74" s="829"/>
      <c r="BB74" s="829"/>
      <c r="BC74" s="848"/>
      <c r="BD74" s="182">
        <f t="shared" si="147"/>
        <v>9</v>
      </c>
      <c r="BE74" s="164" t="str">
        <f t="shared" si="139"/>
        <v>N/A</v>
      </c>
      <c r="BF74" s="185"/>
      <c r="BG74" s="182">
        <f t="shared" si="148"/>
        <v>9</v>
      </c>
      <c r="BH74" s="164" t="str">
        <f t="shared" si="141"/>
        <v>N/A</v>
      </c>
      <c r="BI74" s="185"/>
      <c r="BJ74" s="182">
        <f t="shared" si="149"/>
        <v>9</v>
      </c>
      <c r="BK74" s="164" t="str">
        <f t="shared" si="142"/>
        <v>N/A</v>
      </c>
      <c r="BL74" s="830"/>
      <c r="BO74" s="167"/>
      <c r="BP74" s="167"/>
      <c r="BQ74" s="167" t="str">
        <f t="shared" si="15"/>
        <v/>
      </c>
      <c r="BR74" s="167">
        <f t="shared" si="55"/>
        <v>9</v>
      </c>
      <c r="BS74" s="167">
        <f t="shared" si="56"/>
        <v>9</v>
      </c>
      <c r="BT74" s="167">
        <f t="shared" si="57"/>
        <v>9</v>
      </c>
      <c r="BW74" s="164"/>
      <c r="BX74" s="164"/>
      <c r="BY74" s="164"/>
      <c r="BZ74" s="164"/>
      <c r="CA74" s="164"/>
      <c r="CB74" s="164"/>
    </row>
    <row r="75" spans="1:87" x14ac:dyDescent="0.25">
      <c r="A75" s="96">
        <v>67</v>
      </c>
      <c r="B75" s="137" t="str">
        <f>D75</f>
        <v>Ene 02</v>
      </c>
      <c r="C75" s="137" t="str">
        <f>B75</f>
        <v>Ene 02</v>
      </c>
      <c r="D75" s="834" t="s">
        <v>137</v>
      </c>
      <c r="E75" s="832" t="s">
        <v>135</v>
      </c>
      <c r="F75" s="933">
        <f t="shared" ref="F75:R75" si="152">SUM(F76:F78)</f>
        <v>2</v>
      </c>
      <c r="G75" s="933">
        <f t="shared" si="152"/>
        <v>2</v>
      </c>
      <c r="H75" s="933">
        <f t="shared" si="152"/>
        <v>2</v>
      </c>
      <c r="I75" s="933">
        <f t="shared" si="152"/>
        <v>2</v>
      </c>
      <c r="J75" s="933">
        <f t="shared" si="152"/>
        <v>2</v>
      </c>
      <c r="K75" s="933">
        <f t="shared" si="152"/>
        <v>2</v>
      </c>
      <c r="L75" s="933">
        <f t="shared" si="152"/>
        <v>2</v>
      </c>
      <c r="M75" s="933">
        <f t="shared" si="152"/>
        <v>2</v>
      </c>
      <c r="N75" s="933">
        <f t="shared" si="152"/>
        <v>2</v>
      </c>
      <c r="O75" s="933">
        <f t="shared" si="152"/>
        <v>2</v>
      </c>
      <c r="P75" s="933">
        <f t="shared" si="152"/>
        <v>2</v>
      </c>
      <c r="Q75" s="933">
        <f t="shared" ref="Q75" si="153">SUM(Q76:Q78)</f>
        <v>2</v>
      </c>
      <c r="R75" s="933">
        <f t="shared" si="152"/>
        <v>2</v>
      </c>
      <c r="T75" s="963">
        <f t="shared" si="133"/>
        <v>2</v>
      </c>
      <c r="U75" s="222">
        <f>U77</f>
        <v>0</v>
      </c>
      <c r="V75" s="230"/>
      <c r="W75" s="230"/>
      <c r="X75" s="230">
        <f>'Manuell filtrering og justering'!E30</f>
        <v>0</v>
      </c>
      <c r="Y75" s="230"/>
      <c r="Z75" s="958">
        <f t="shared" ref="Z75" si="154">SUM(Z76:Z78)</f>
        <v>2</v>
      </c>
      <c r="AA75" s="963">
        <f t="shared" si="135"/>
        <v>0</v>
      </c>
      <c r="AB75" s="1067">
        <f>SUM(AB76:AB78)</f>
        <v>2</v>
      </c>
      <c r="AD75" s="171">
        <f t="shared" si="136"/>
        <v>1.0370370370370372E-2</v>
      </c>
      <c r="AE75" s="921">
        <f>SUM(AE76:AE78)</f>
        <v>0</v>
      </c>
      <c r="AF75" s="921">
        <f t="shared" ref="AF75:AG75" si="155">SUM(AF76:AF78)</f>
        <v>0</v>
      </c>
      <c r="AG75" s="921">
        <f t="shared" si="155"/>
        <v>0</v>
      </c>
      <c r="AI75" s="958">
        <f t="shared" ref="AI75:AK75" si="156">SUM(AI76:AI78)</f>
        <v>0</v>
      </c>
      <c r="AJ75" s="958">
        <f t="shared" si="156"/>
        <v>0</v>
      </c>
      <c r="AK75" s="958">
        <f t="shared" si="156"/>
        <v>0</v>
      </c>
      <c r="AL75" s="96" t="s">
        <v>427</v>
      </c>
      <c r="AM75" s="291"/>
      <c r="AN75" s="181"/>
      <c r="AO75" s="181"/>
      <c r="AP75" s="181"/>
      <c r="AQ75" s="186"/>
      <c r="AS75" s="291"/>
      <c r="AT75" s="181"/>
      <c r="AU75" s="181"/>
      <c r="AV75" s="181"/>
      <c r="AW75" s="186"/>
      <c r="AY75" s="182"/>
      <c r="AZ75" s="183"/>
      <c r="BA75" s="183"/>
      <c r="BB75" s="183"/>
      <c r="BC75" s="187"/>
      <c r="BD75" s="182">
        <f>IF(BC75=0,9,IF((AI75-CG75)&gt;=BC75,5,IF((AI75-CG75)&gt;=BB75,4,IF((AI75-CG75)&gt;=BA75,3,IF((AI75-CG75)&gt;=AZ75,2,IF((AI75-CG75)&lt;AY75,0,1))))))</f>
        <v>9</v>
      </c>
      <c r="BE75" s="164" t="str">
        <f t="shared" si="139"/>
        <v>N/A</v>
      </c>
      <c r="BF75" s="185"/>
      <c r="BG75" s="182">
        <f>IF(BC75=0,9,IF((AJ75-CG75)&gt;=BC75,5,IF((AJ75-CG75)&gt;=BB75,4,IF((AJ75-CG75)&gt;=BA75,3,IF((AJ75-CG75)&gt;=AZ75,2,IF((AJ75-CG75)&lt;AY75,0,1))))))</f>
        <v>9</v>
      </c>
      <c r="BH75" s="164" t="str">
        <f t="shared" si="141"/>
        <v>N/A</v>
      </c>
      <c r="BI75" s="185"/>
      <c r="BJ75" s="182">
        <f>IF(BC75=0,9,IF((AK75-CG75)&gt;=BC75,5,IF((AK75-CG75)&gt;=BB75,4,IF((AK75-CG75)&gt;=BA75,3,IF((AK75-CG75)&gt;=AZ75,2,IF((AK75-CG75)&lt;AY75,0,1))))))</f>
        <v>9</v>
      </c>
      <c r="BK75" s="164" t="str">
        <f t="shared" si="142"/>
        <v>N/A</v>
      </c>
      <c r="BL75" s="185"/>
      <c r="BO75" s="167"/>
      <c r="BP75" s="167"/>
      <c r="BQ75" s="167" t="str">
        <f t="shared" ref="BQ75:BQ138" si="157">IF(BO75&lt;&gt;"",BO75,IF(BP75&lt;&gt;"",BP75,""))</f>
        <v/>
      </c>
      <c r="BR75" s="167">
        <f t="shared" si="55"/>
        <v>9</v>
      </c>
      <c r="BS75" s="167">
        <f t="shared" si="56"/>
        <v>9</v>
      </c>
      <c r="BT75" s="167">
        <f t="shared" si="57"/>
        <v>9</v>
      </c>
      <c r="BW75" s="167" t="str">
        <f>D75</f>
        <v>Ene 02</v>
      </c>
      <c r="BX75" s="167" t="str">
        <f>IFERROR(VLOOKUP($E75,'Pre-Assessment Estimator'!$E$11:$AB$225,'Pre-Assessment Estimator'!AB$2,FALSE),"")</f>
        <v>O2: Sub-met. (AC 4-7: -1,0 c)</v>
      </c>
      <c r="BY75" s="230" t="str">
        <f>IFERROR(VLOOKUP($E75,'Pre-Assessment Estimator'!$E$11:$AI$225,'Pre-Assessment Estimator'!AI$2,FALSE),"")</f>
        <v>Ja</v>
      </c>
      <c r="BZ75" s="167">
        <f>IFERROR(VLOOKUP($BX75,$E$292:$H$325,F$290,FALSE),"")</f>
        <v>-1</v>
      </c>
      <c r="CA75" s="672" t="s">
        <v>430</v>
      </c>
      <c r="CB75" s="167">
        <f>H307</f>
        <v>1</v>
      </c>
      <c r="CC75" s="96" t="str">
        <f>IFERROR(VLOOKUP($BX75,$E$292:$H$325,I$290,FALSE),"")</f>
        <v/>
      </c>
      <c r="CD75" s="681" t="s">
        <v>405</v>
      </c>
      <c r="CE75" s="167">
        <f>VLOOKUP(CA75,$CA$4:$CB$5,2,FALSE)</f>
        <v>0</v>
      </c>
      <c r="CG75" s="681">
        <f>IF($BX$5=ais_nei,CE75,IF(CD75=$BY$5,IF(AND(CA75=$CA$4,BX75=$CC$4),0,BZ75),CE75))</f>
        <v>0</v>
      </c>
      <c r="CI75" s="96" t="s">
        <v>405</v>
      </c>
    </row>
    <row r="76" spans="1:87" x14ac:dyDescent="0.25">
      <c r="A76" s="96">
        <v>68</v>
      </c>
      <c r="B76" s="96" t="str">
        <f t="shared" ref="B76:B78" si="158">$D$75&amp;D76</f>
        <v>Ene 02a</v>
      </c>
      <c r="C76" s="96" t="str">
        <f t="shared" ref="C76:C139" si="159">C75</f>
        <v>Ene 02</v>
      </c>
      <c r="D76" s="163" t="s">
        <v>694</v>
      </c>
      <c r="E76" s="1124" t="s">
        <v>626</v>
      </c>
      <c r="F76" s="775">
        <v>1</v>
      </c>
      <c r="G76" s="775">
        <v>1</v>
      </c>
      <c r="H76" s="1022">
        <v>0</v>
      </c>
      <c r="I76" s="775">
        <v>1</v>
      </c>
      <c r="J76" s="775">
        <v>1</v>
      </c>
      <c r="K76" s="775">
        <v>1</v>
      </c>
      <c r="L76" s="775">
        <v>1</v>
      </c>
      <c r="M76" s="775">
        <v>1</v>
      </c>
      <c r="N76" s="775">
        <v>1</v>
      </c>
      <c r="O76" s="775">
        <v>1</v>
      </c>
      <c r="P76" s="775">
        <v>1</v>
      </c>
      <c r="Q76" s="775">
        <v>1</v>
      </c>
      <c r="R76" s="775">
        <v>1</v>
      </c>
      <c r="T76" s="221">
        <f t="shared" si="133"/>
        <v>1</v>
      </c>
      <c r="U76" s="166"/>
      <c r="V76" s="167"/>
      <c r="W76" s="167"/>
      <c r="X76" s="167"/>
      <c r="Y76" s="169">
        <f>IF($Y$4=$Y$6,T76,0)</f>
        <v>0</v>
      </c>
      <c r="Z76" s="168">
        <f>VLOOKUP(B76,'Manuell filtrering og justering'!$A$7:$H$107,'Manuell filtrering og justering'!$H$1,FALSE)</f>
        <v>1</v>
      </c>
      <c r="AA76" s="169">
        <f t="shared" si="135"/>
        <v>0</v>
      </c>
      <c r="AB76" s="170">
        <f>IF($AC$5='Manuell filtrering og justering'!$J$2,Z76,(T76-AA76))</f>
        <v>1</v>
      </c>
      <c r="AD76" s="171">
        <f t="shared" si="136"/>
        <v>5.1851851851851859E-3</v>
      </c>
      <c r="AE76" s="171">
        <f t="shared" si="144"/>
        <v>0</v>
      </c>
      <c r="AF76" s="171">
        <f t="shared" si="145"/>
        <v>0</v>
      </c>
      <c r="AG76" s="171">
        <f t="shared" si="146"/>
        <v>0</v>
      </c>
      <c r="AI76" s="172">
        <f>IF(VLOOKUP(E76,'Pre-Assessment Estimator'!$E$11:$Z$225,'Pre-Assessment Estimator'!$G$2,FALSE)&gt;AB76,AB76,VLOOKUP(E76,'Pre-Assessment Estimator'!$E$11:$Z$225,'Pre-Assessment Estimator'!$G$2,FALSE))</f>
        <v>0</v>
      </c>
      <c r="AJ76" s="172">
        <f>IF(VLOOKUP(E76,'Pre-Assessment Estimator'!$E$11:$Z$225,'Pre-Assessment Estimator'!$N$2,FALSE)&gt;AB76,AB76,VLOOKUP(E76,'Pre-Assessment Estimator'!$E$11:$Z$225,'Pre-Assessment Estimator'!$N$2,FALSE))</f>
        <v>0</v>
      </c>
      <c r="AK76" s="172">
        <f>IF(VLOOKUP(E76,'Pre-Assessment Estimator'!$E$11:$Z$225,'Pre-Assessment Estimator'!$U$2,FALSE)&gt;AB76,AB76,VLOOKUP(E76,'Pre-Assessment Estimator'!$E$11:$Z$225,'Pre-Assessment Estimator'!$U$2,FALSE))</f>
        <v>0</v>
      </c>
      <c r="AM76" s="291"/>
      <c r="AN76" s="181"/>
      <c r="AO76" s="181"/>
      <c r="AP76" s="181"/>
      <c r="AQ76" s="186"/>
      <c r="AS76" s="291"/>
      <c r="AT76" s="181"/>
      <c r="AU76" s="181"/>
      <c r="AV76" s="181"/>
      <c r="AW76" s="186"/>
      <c r="AY76" s="182"/>
      <c r="AZ76" s="183"/>
      <c r="BA76" s="183"/>
      <c r="BB76" s="183"/>
      <c r="BC76" s="187"/>
      <c r="BD76" s="182">
        <f t="shared" ref="BD76:BD95" si="160">IF(BC76=0,9,IF((AI76-CG76)&gt;=BC76,5,IF((AI76-CG76)&gt;=BB76,4,IF((AI76-CG76)&gt;=BA76,3,IF((AI76-CG76)&gt;=AZ76,2,IF((AI76-CG76)&lt;AY76,0,1))))))</f>
        <v>9</v>
      </c>
      <c r="BE76" s="164" t="str">
        <f t="shared" si="139"/>
        <v>N/A</v>
      </c>
      <c r="BF76" s="185"/>
      <c r="BG76" s="182">
        <f t="shared" ref="BG76:BG95" si="161">IF(BC76=0,9,IF((AJ76-CG76)&gt;=BC76,5,IF((AJ76-CG76)&gt;=BB76,4,IF((AJ76-CG76)&gt;=BA76,3,IF((AJ76-CG76)&gt;=AZ76,2,IF((AJ76-CG76)&lt;AY76,0,1))))))</f>
        <v>9</v>
      </c>
      <c r="BH76" s="164" t="str">
        <f t="shared" si="141"/>
        <v>N/A</v>
      </c>
      <c r="BI76" s="185"/>
      <c r="BJ76" s="182">
        <f t="shared" ref="BJ76:BJ95" si="162">IF(BC76=0,9,IF((AK76-CG76)&gt;=BC76,5,IF((AK76-CG76)&gt;=BB76,4,IF((AK76-CG76)&gt;=BA76,3,IF((AK76-CG76)&gt;=AZ76,2,IF((AK76-CG76)&lt;AY76,0,1))))))</f>
        <v>9</v>
      </c>
      <c r="BK76" s="164" t="str">
        <f t="shared" si="142"/>
        <v>N/A</v>
      </c>
      <c r="BL76" s="185"/>
      <c r="BO76" s="167"/>
      <c r="BP76" s="167"/>
      <c r="BQ76" s="167" t="str">
        <f t="shared" si="157"/>
        <v/>
      </c>
      <c r="BR76" s="167">
        <f t="shared" si="55"/>
        <v>9</v>
      </c>
      <c r="BS76" s="167">
        <f t="shared" si="56"/>
        <v>9</v>
      </c>
      <c r="BT76" s="167">
        <f t="shared" si="57"/>
        <v>9</v>
      </c>
      <c r="BW76" s="167"/>
      <c r="BX76" s="167"/>
      <c r="BY76" s="230"/>
      <c r="BZ76" s="167"/>
      <c r="CA76" s="839"/>
      <c r="CB76" s="167"/>
      <c r="CD76" s="681"/>
      <c r="CE76" s="167"/>
      <c r="CG76" s="681"/>
    </row>
    <row r="77" spans="1:87" x14ac:dyDescent="0.25">
      <c r="A77" s="96">
        <v>69</v>
      </c>
      <c r="B77" s="96" t="str">
        <f t="shared" si="158"/>
        <v>Ene 02b</v>
      </c>
      <c r="C77" s="96" t="str">
        <f t="shared" si="159"/>
        <v>Ene 02</v>
      </c>
      <c r="D77" s="163" t="s">
        <v>697</v>
      </c>
      <c r="E77" s="1124" t="s">
        <v>627</v>
      </c>
      <c r="F77" s="775">
        <v>1</v>
      </c>
      <c r="G77" s="775">
        <v>1</v>
      </c>
      <c r="H77" s="1022">
        <v>0</v>
      </c>
      <c r="I77" s="775">
        <v>1</v>
      </c>
      <c r="J77" s="775">
        <v>1</v>
      </c>
      <c r="K77" s="775">
        <v>1</v>
      </c>
      <c r="L77" s="775">
        <v>1</v>
      </c>
      <c r="M77" s="775">
        <v>1</v>
      </c>
      <c r="N77" s="775">
        <v>1</v>
      </c>
      <c r="O77" s="775">
        <v>1</v>
      </c>
      <c r="P77" s="775">
        <v>1</v>
      </c>
      <c r="Q77" s="775">
        <v>1</v>
      </c>
      <c r="R77" s="775">
        <v>1</v>
      </c>
      <c r="T77" s="221">
        <f t="shared" si="133"/>
        <v>1</v>
      </c>
      <c r="U77" s="222">
        <f>IF(AND('Assessment Details'!I28=1,'Assessment Details'!F28=AD_no),Poeng!T77,0)</f>
        <v>0</v>
      </c>
      <c r="V77" s="167"/>
      <c r="W77" s="167"/>
      <c r="X77" s="167"/>
      <c r="Y77" s="169">
        <f>IF($Y$4=$Y$6,T77,0)</f>
        <v>0</v>
      </c>
      <c r="Z77" s="168">
        <f>VLOOKUP(B77,'Manuell filtrering og justering'!$A$7:$H$107,'Manuell filtrering og justering'!$H$1,FALSE)</f>
        <v>1</v>
      </c>
      <c r="AA77" s="169">
        <f t="shared" si="135"/>
        <v>0</v>
      </c>
      <c r="AB77" s="170">
        <f>IF($AC$5='Manuell filtrering og justering'!$J$2,Z77,(T77-AA77))</f>
        <v>1</v>
      </c>
      <c r="AD77" s="171">
        <f t="shared" si="136"/>
        <v>5.1851851851851859E-3</v>
      </c>
      <c r="AE77" s="171">
        <f t="shared" si="144"/>
        <v>0</v>
      </c>
      <c r="AF77" s="171">
        <f t="shared" si="145"/>
        <v>0</v>
      </c>
      <c r="AG77" s="171">
        <f t="shared" si="146"/>
        <v>0</v>
      </c>
      <c r="AI77" s="172">
        <f>IF(VLOOKUP(E77,'Pre-Assessment Estimator'!$E$11:$Z$225,'Pre-Assessment Estimator'!$G$2,FALSE)&gt;AB77,AB77,VLOOKUP(E77,'Pre-Assessment Estimator'!$E$11:$Z$225,'Pre-Assessment Estimator'!$G$2,FALSE))</f>
        <v>0</v>
      </c>
      <c r="AJ77" s="172">
        <f>IF(VLOOKUP(E77,'Pre-Assessment Estimator'!$E$11:$Z$225,'Pre-Assessment Estimator'!$N$2,FALSE)&gt;AB77,AB77,VLOOKUP(E77,'Pre-Assessment Estimator'!$E$11:$Z$225,'Pre-Assessment Estimator'!$N$2,FALSE))</f>
        <v>0</v>
      </c>
      <c r="AK77" s="172">
        <f>IF(VLOOKUP(E77,'Pre-Assessment Estimator'!$E$11:$Z$225,'Pre-Assessment Estimator'!$U$2,FALSE)&gt;AB77,AB77,VLOOKUP(E77,'Pre-Assessment Estimator'!$E$11:$Z$225,'Pre-Assessment Estimator'!$U$2,FALSE))</f>
        <v>0</v>
      </c>
      <c r="AM77" s="291"/>
      <c r="AN77" s="181"/>
      <c r="AO77" s="181"/>
      <c r="AP77" s="181"/>
      <c r="AQ77" s="186"/>
      <c r="AS77" s="291"/>
      <c r="AT77" s="181"/>
      <c r="AU77" s="181"/>
      <c r="AV77" s="181"/>
      <c r="AW77" s="186"/>
      <c r="AY77" s="182"/>
      <c r="AZ77" s="183"/>
      <c r="BA77" s="183"/>
      <c r="BB77" s="183"/>
      <c r="BC77" s="187"/>
      <c r="BD77" s="182">
        <f t="shared" si="160"/>
        <v>9</v>
      </c>
      <c r="BE77" s="164" t="str">
        <f t="shared" si="139"/>
        <v>N/A</v>
      </c>
      <c r="BF77" s="185"/>
      <c r="BG77" s="182">
        <f t="shared" si="161"/>
        <v>9</v>
      </c>
      <c r="BH77" s="164" t="str">
        <f t="shared" si="141"/>
        <v>N/A</v>
      </c>
      <c r="BI77" s="185"/>
      <c r="BJ77" s="182">
        <f t="shared" si="162"/>
        <v>9</v>
      </c>
      <c r="BK77" s="164" t="str">
        <f t="shared" si="142"/>
        <v>N/A</v>
      </c>
      <c r="BL77" s="185"/>
      <c r="BO77" s="167"/>
      <c r="BP77" s="167"/>
      <c r="BQ77" s="167" t="str">
        <f t="shared" si="157"/>
        <v/>
      </c>
      <c r="BR77" s="167">
        <f t="shared" si="55"/>
        <v>9</v>
      </c>
      <c r="BS77" s="167">
        <f t="shared" si="56"/>
        <v>9</v>
      </c>
      <c r="BT77" s="167">
        <f t="shared" si="57"/>
        <v>9</v>
      </c>
      <c r="BW77" s="167"/>
      <c r="BX77" s="167"/>
      <c r="BY77" s="230"/>
      <c r="BZ77" s="167"/>
      <c r="CA77" s="839"/>
      <c r="CB77" s="167"/>
      <c r="CD77" s="681"/>
      <c r="CE77" s="167"/>
      <c r="CG77" s="681"/>
    </row>
    <row r="78" spans="1:87" ht="15.75" thickBot="1" x14ac:dyDescent="0.3">
      <c r="A78" s="96">
        <v>70</v>
      </c>
      <c r="B78" s="96" t="str">
        <f t="shared" si="158"/>
        <v>Ene 02c</v>
      </c>
      <c r="C78" s="96" t="str">
        <f t="shared" si="159"/>
        <v>Ene 02</v>
      </c>
      <c r="D78" s="166" t="s">
        <v>698</v>
      </c>
      <c r="E78" s="1124" t="s">
        <v>628</v>
      </c>
      <c r="F78" s="775">
        <v>0</v>
      </c>
      <c r="G78" s="775">
        <v>0</v>
      </c>
      <c r="H78" s="1022">
        <v>2</v>
      </c>
      <c r="I78" s="775">
        <v>0</v>
      </c>
      <c r="J78" s="775">
        <v>0</v>
      </c>
      <c r="K78" s="775">
        <v>0</v>
      </c>
      <c r="L78" s="775">
        <v>0</v>
      </c>
      <c r="M78" s="775">
        <v>0</v>
      </c>
      <c r="N78" s="775">
        <v>0</v>
      </c>
      <c r="O78" s="775">
        <v>0</v>
      </c>
      <c r="P78" s="775">
        <v>0</v>
      </c>
      <c r="Q78" s="775">
        <v>0</v>
      </c>
      <c r="R78" s="775">
        <v>0</v>
      </c>
      <c r="T78" s="221">
        <f t="shared" si="133"/>
        <v>0</v>
      </c>
      <c r="U78" s="166"/>
      <c r="V78" s="167"/>
      <c r="W78" s="193"/>
      <c r="X78" s="167"/>
      <c r="Y78" s="169">
        <f>IF($Y$4=$Y$6,T78,0)</f>
        <v>0</v>
      </c>
      <c r="Z78" s="168">
        <f>VLOOKUP(B78,'Manuell filtrering og justering'!$A$7:$H$107,'Manuell filtrering og justering'!$H$1,FALSE)</f>
        <v>0</v>
      </c>
      <c r="AA78" s="169">
        <f t="shared" si="135"/>
        <v>0</v>
      </c>
      <c r="AB78" s="170">
        <f>IF($AC$5='Manuell filtrering og justering'!$J$2,Z78,(T78-AA78))</f>
        <v>0</v>
      </c>
      <c r="AD78" s="171">
        <f t="shared" si="136"/>
        <v>0</v>
      </c>
      <c r="AE78" s="171">
        <f t="shared" si="144"/>
        <v>0</v>
      </c>
      <c r="AF78" s="171">
        <f t="shared" si="145"/>
        <v>0</v>
      </c>
      <c r="AG78" s="171">
        <f t="shared" si="146"/>
        <v>0</v>
      </c>
      <c r="AI78" s="172">
        <f>IF(VLOOKUP(E78,'Pre-Assessment Estimator'!$E$11:$Z$225,'Pre-Assessment Estimator'!$G$2,FALSE)&gt;AB78,AB78,VLOOKUP(E78,'Pre-Assessment Estimator'!$E$11:$Z$225,'Pre-Assessment Estimator'!$G$2,FALSE))</f>
        <v>0</v>
      </c>
      <c r="AJ78" s="172">
        <f>IF(VLOOKUP(E78,'Pre-Assessment Estimator'!$E$11:$Z$225,'Pre-Assessment Estimator'!$N$2,FALSE)&gt;AB78,AB78,VLOOKUP(E78,'Pre-Assessment Estimator'!$E$11:$Z$225,'Pre-Assessment Estimator'!$N$2,FALSE))</f>
        <v>0</v>
      </c>
      <c r="AK78" s="172">
        <f>IF(VLOOKUP(E78,'Pre-Assessment Estimator'!$E$11:$Z$225,'Pre-Assessment Estimator'!$U$2,FALSE)&gt;AB78,AB78,VLOOKUP(E78,'Pre-Assessment Estimator'!$E$11:$Z$225,'Pre-Assessment Estimator'!$U$2,FALSE))</f>
        <v>0</v>
      </c>
      <c r="AM78" s="291"/>
      <c r="AN78" s="181"/>
      <c r="AO78" s="181"/>
      <c r="AP78" s="181"/>
      <c r="AQ78" s="186"/>
      <c r="AS78" s="291"/>
      <c r="AT78" s="181"/>
      <c r="AU78" s="181"/>
      <c r="AV78" s="181"/>
      <c r="AW78" s="186"/>
      <c r="AY78" s="182"/>
      <c r="AZ78" s="183"/>
      <c r="BA78" s="183"/>
      <c r="BB78" s="183"/>
      <c r="BC78" s="187"/>
      <c r="BD78" s="182">
        <f t="shared" si="160"/>
        <v>9</v>
      </c>
      <c r="BE78" s="164" t="str">
        <f t="shared" si="139"/>
        <v>N/A</v>
      </c>
      <c r="BF78" s="185"/>
      <c r="BG78" s="182">
        <f t="shared" si="161"/>
        <v>9</v>
      </c>
      <c r="BH78" s="164" t="str">
        <f t="shared" si="141"/>
        <v>N/A</v>
      </c>
      <c r="BI78" s="185"/>
      <c r="BJ78" s="182">
        <f t="shared" si="162"/>
        <v>9</v>
      </c>
      <c r="BK78" s="164" t="str">
        <f t="shared" si="142"/>
        <v>N/A</v>
      </c>
      <c r="BL78" s="185"/>
      <c r="BO78" s="167"/>
      <c r="BP78" s="167"/>
      <c r="BQ78" s="167" t="str">
        <f t="shared" si="157"/>
        <v/>
      </c>
      <c r="BR78" s="167">
        <f t="shared" si="55"/>
        <v>9</v>
      </c>
      <c r="BS78" s="167">
        <f t="shared" si="56"/>
        <v>9</v>
      </c>
      <c r="BT78" s="167">
        <f t="shared" si="57"/>
        <v>9</v>
      </c>
      <c r="BW78" s="167"/>
      <c r="BX78" s="167"/>
      <c r="BY78" s="230"/>
      <c r="BZ78" s="167"/>
      <c r="CA78" s="839"/>
      <c r="CB78" s="167"/>
      <c r="CD78" s="681"/>
      <c r="CE78" s="167"/>
      <c r="CG78" s="681"/>
    </row>
    <row r="79" spans="1:87" x14ac:dyDescent="0.25">
      <c r="A79" s="96">
        <v>71</v>
      </c>
      <c r="B79" s="137" t="str">
        <f>D79</f>
        <v>Ene 03</v>
      </c>
      <c r="C79" s="137" t="str">
        <f>B79</f>
        <v>Ene 03</v>
      </c>
      <c r="D79" s="942" t="s">
        <v>138</v>
      </c>
      <c r="E79" s="832" t="s">
        <v>130</v>
      </c>
      <c r="F79" s="951">
        <v>1</v>
      </c>
      <c r="G79" s="951">
        <v>1</v>
      </c>
      <c r="H79" s="951">
        <v>1</v>
      </c>
      <c r="I79" s="951">
        <v>1</v>
      </c>
      <c r="J79" s="951">
        <v>1</v>
      </c>
      <c r="K79" s="951">
        <v>1</v>
      </c>
      <c r="L79" s="951">
        <v>1</v>
      </c>
      <c r="M79" s="951">
        <v>1</v>
      </c>
      <c r="N79" s="951">
        <v>1</v>
      </c>
      <c r="O79" s="951">
        <v>1</v>
      </c>
      <c r="P79" s="951">
        <v>1</v>
      </c>
      <c r="Q79" s="951">
        <v>1</v>
      </c>
      <c r="R79" s="951">
        <v>1</v>
      </c>
      <c r="T79" s="963">
        <f t="shared" si="133"/>
        <v>1</v>
      </c>
      <c r="U79" s="222"/>
      <c r="V79" s="1099"/>
      <c r="W79" s="150" t="s">
        <v>955</v>
      </c>
      <c r="X79" s="1100">
        <f>'Manuell filtrering og justering'!E31</f>
        <v>0</v>
      </c>
      <c r="Y79" s="1161"/>
      <c r="Z79" s="980">
        <f>IF((Z80+Z81)&gt;0,1,0)</f>
        <v>1</v>
      </c>
      <c r="AA79" s="963">
        <f t="shared" si="135"/>
        <v>0</v>
      </c>
      <c r="AB79" s="1067">
        <f>SUM(AB80:AB81)</f>
        <v>1</v>
      </c>
      <c r="AD79" s="171">
        <f t="shared" si="136"/>
        <v>5.1851851851851859E-3</v>
      </c>
      <c r="AE79" s="921">
        <f>IF(SUM(AE80:AE81)&gt;Ene03_05,Ene03_05,SUM(AE80:AE81))</f>
        <v>0</v>
      </c>
      <c r="AF79" s="921">
        <f>IF(SUM(AF80:AF81)&gt;Ene03_05,Ene03_05,SUM(AF80:AF81))</f>
        <v>0</v>
      </c>
      <c r="AG79" s="921">
        <f>IF(SUM(AG80:AG81)&gt;Ene03_05,Ene03_05,SUM(AG80:AG81))</f>
        <v>0</v>
      </c>
      <c r="AI79" s="958">
        <f>IF(SUM(AI80:AI81)&gt;Ene03_credits,Ene03_credits,SUM(AI80:AI81))</f>
        <v>0</v>
      </c>
      <c r="AJ79" s="958">
        <f>IF(SUM(AJ80:AJ81)&gt;Ene03_credits,Ene03_credits,SUM(AJ80:AJ81))</f>
        <v>0</v>
      </c>
      <c r="AK79" s="958">
        <f>IF(SUM(AK80:AK81)&gt;Ene03_credits,Ene03_credits,SUM(AK80:AK81))</f>
        <v>0</v>
      </c>
      <c r="AL79" s="96" t="s">
        <v>427</v>
      </c>
      <c r="AM79" s="292"/>
      <c r="AN79" s="293"/>
      <c r="AO79" s="293"/>
      <c r="AP79" s="293"/>
      <c r="AQ79" s="294"/>
      <c r="AS79" s="292"/>
      <c r="AT79" s="293"/>
      <c r="AU79" s="293"/>
      <c r="AV79" s="293"/>
      <c r="AW79" s="294"/>
      <c r="AY79" s="188"/>
      <c r="AZ79" s="189"/>
      <c r="BA79" s="189"/>
      <c r="BB79" s="189"/>
      <c r="BC79" s="190"/>
      <c r="BD79" s="182">
        <f t="shared" si="160"/>
        <v>9</v>
      </c>
      <c r="BE79" s="164" t="str">
        <f t="shared" si="139"/>
        <v>N/A</v>
      </c>
      <c r="BF79" s="185"/>
      <c r="BG79" s="182">
        <f t="shared" si="161"/>
        <v>9</v>
      </c>
      <c r="BH79" s="164" t="str">
        <f t="shared" si="141"/>
        <v>N/A</v>
      </c>
      <c r="BI79" s="185"/>
      <c r="BJ79" s="182">
        <f t="shared" si="162"/>
        <v>9</v>
      </c>
      <c r="BK79" s="164" t="str">
        <f t="shared" si="142"/>
        <v>N/A</v>
      </c>
      <c r="BL79" s="185"/>
      <c r="BM79" s="96" t="s">
        <v>460</v>
      </c>
      <c r="BO79" s="167"/>
      <c r="BP79" s="167"/>
      <c r="BQ79" s="167" t="str">
        <f t="shared" si="157"/>
        <v/>
      </c>
      <c r="BR79" s="167">
        <f t="shared" si="55"/>
        <v>9</v>
      </c>
      <c r="BS79" s="167">
        <f t="shared" si="56"/>
        <v>9</v>
      </c>
      <c r="BT79" s="167">
        <f t="shared" si="57"/>
        <v>9</v>
      </c>
      <c r="BW79" s="167" t="str">
        <f>D79</f>
        <v>Ene 03</v>
      </c>
      <c r="BX79" s="167" t="str">
        <f>IFERROR(VLOOKUP($E79,'Pre-Assessment Estimator'!$E$11:$AB$225,'Pre-Assessment Estimator'!AB$2,FALSE),"")</f>
        <v>No</v>
      </c>
      <c r="BY79" s="230" t="str">
        <f>IFERROR(VLOOKUP($E79,'Pre-Assessment Estimator'!$E$11:$AI$225,'Pre-Assessment Estimator'!AI$2,FALSE),"")</f>
        <v>Ja</v>
      </c>
      <c r="BZ79" s="167">
        <f>IFERROR(VLOOKUP($BX79,$E$292:$H$325,F$290,FALSE),"")</f>
        <v>1</v>
      </c>
      <c r="CA79" s="680" t="s">
        <v>432</v>
      </c>
      <c r="CB79" s="167"/>
      <c r="CC79" s="96" t="str">
        <f>IFERROR(VLOOKUP($BX79,$E$292:$H$325,I$290,FALSE),"")</f>
        <v/>
      </c>
      <c r="CD79" s="96" t="s">
        <v>438</v>
      </c>
      <c r="CE79" s="167">
        <f>VLOOKUP(CA79,$CA$4:$CB$5,2,FALSE)</f>
        <v>1</v>
      </c>
      <c r="CG79" s="681">
        <f>IF($BX$5=ais_nei,CE79,IF(AND(CA79=$CA$4,BX79=$CC$4),0,BZ79))</f>
        <v>1</v>
      </c>
    </row>
    <row r="80" spans="1:87" x14ac:dyDescent="0.25">
      <c r="A80" s="96">
        <v>72</v>
      </c>
      <c r="B80" s="96" t="str">
        <f t="shared" ref="B80:B81" si="163">$D$79&amp;D80</f>
        <v>Ene 03a</v>
      </c>
      <c r="C80" s="96" t="str">
        <f t="shared" si="159"/>
        <v>Ene 03</v>
      </c>
      <c r="D80" s="163" t="s">
        <v>694</v>
      </c>
      <c r="E80" s="1124" t="s">
        <v>629</v>
      </c>
      <c r="F80" s="775">
        <v>1</v>
      </c>
      <c r="G80" s="775">
        <v>1</v>
      </c>
      <c r="H80" s="775">
        <v>1</v>
      </c>
      <c r="I80" s="775">
        <v>1</v>
      </c>
      <c r="J80" s="775">
        <v>1</v>
      </c>
      <c r="K80" s="775">
        <v>1</v>
      </c>
      <c r="L80" s="775">
        <v>1</v>
      </c>
      <c r="M80" s="775">
        <v>1</v>
      </c>
      <c r="N80" s="775">
        <v>1</v>
      </c>
      <c r="O80" s="775">
        <v>1</v>
      </c>
      <c r="P80" s="775">
        <v>1</v>
      </c>
      <c r="Q80" s="775">
        <v>1</v>
      </c>
      <c r="R80" s="775">
        <v>1</v>
      </c>
      <c r="T80" s="221">
        <f t="shared" si="133"/>
        <v>1</v>
      </c>
      <c r="U80" s="222">
        <f>IF('Assessment Details'!F18=AD_Yes,Poeng!T80,0)</f>
        <v>0</v>
      </c>
      <c r="V80" s="168"/>
      <c r="W80" s="169">
        <f>IF('Assessment Details'!F18=AD_Yes,Poeng!Z80,0)</f>
        <v>0</v>
      </c>
      <c r="X80" s="239"/>
      <c r="Y80" s="1160"/>
      <c r="Z80" s="168">
        <f>VLOOKUP(B80,'Manuell filtrering og justering'!$A$7:$H$107,'Manuell filtrering og justering'!$H$1,FALSE)</f>
        <v>1</v>
      </c>
      <c r="AA80" s="169">
        <f>IF(SUM(U80:V80)&gt;T80,T80,SUM(U80:V80))</f>
        <v>0</v>
      </c>
      <c r="AB80" s="1037">
        <f>IF($AC$5='Manuell filtrering og justering'!$J$2,Z80-W80,(T80-AA80))</f>
        <v>1</v>
      </c>
      <c r="AD80" s="171">
        <f t="shared" si="136"/>
        <v>5.1851851851851859E-3</v>
      </c>
      <c r="AE80" s="171">
        <f t="shared" si="144"/>
        <v>0</v>
      </c>
      <c r="AF80" s="171">
        <f t="shared" si="145"/>
        <v>0</v>
      </c>
      <c r="AG80" s="171">
        <f t="shared" si="146"/>
        <v>0</v>
      </c>
      <c r="AI80" s="172">
        <f>IF(VLOOKUP(E80,'Pre-Assessment Estimator'!$E$11:$Z$225,'Pre-Assessment Estimator'!$G$2,FALSE)&gt;AB80,AB80,VLOOKUP(E80,'Pre-Assessment Estimator'!$E$11:$Z$225,'Pre-Assessment Estimator'!$G$2,FALSE))</f>
        <v>0</v>
      </c>
      <c r="AJ80" s="172">
        <f>IF(VLOOKUP(E80,'Pre-Assessment Estimator'!$E$11:$Z$225,'Pre-Assessment Estimator'!$N$2,FALSE)&gt;AB80,AB80,VLOOKUP(E80,'Pre-Assessment Estimator'!$E$11:$Z$225,'Pre-Assessment Estimator'!$N$2,FALSE))</f>
        <v>0</v>
      </c>
      <c r="AK80" s="172">
        <f>IF(VLOOKUP(E80,'Pre-Assessment Estimator'!$E$11:$Z$225,'Pre-Assessment Estimator'!$U$2,FALSE)&gt;AB80,AB80,VLOOKUP(E80,'Pre-Assessment Estimator'!$E$11:$Z$225,'Pre-Assessment Estimator'!$U$2,FALSE))</f>
        <v>0</v>
      </c>
      <c r="AM80" s="292"/>
      <c r="AN80" s="293"/>
      <c r="AO80" s="293"/>
      <c r="AP80" s="293"/>
      <c r="AQ80" s="294"/>
      <c r="AS80" s="292"/>
      <c r="AT80" s="293"/>
      <c r="AU80" s="293"/>
      <c r="AV80" s="293"/>
      <c r="AW80" s="294"/>
      <c r="AY80" s="188"/>
      <c r="AZ80" s="189"/>
      <c r="BA80" s="189"/>
      <c r="BB80" s="189"/>
      <c r="BC80" s="190"/>
      <c r="BD80" s="182">
        <f t="shared" si="160"/>
        <v>9</v>
      </c>
      <c r="BE80" s="164" t="str">
        <f t="shared" si="139"/>
        <v>N/A</v>
      </c>
      <c r="BF80" s="185"/>
      <c r="BG80" s="182">
        <f t="shared" si="161"/>
        <v>9</v>
      </c>
      <c r="BH80" s="164" t="str">
        <f t="shared" si="141"/>
        <v>N/A</v>
      </c>
      <c r="BI80" s="185"/>
      <c r="BJ80" s="182">
        <f t="shared" si="162"/>
        <v>9</v>
      </c>
      <c r="BK80" s="164" t="str">
        <f t="shared" si="142"/>
        <v>N/A</v>
      </c>
      <c r="BL80" s="185"/>
      <c r="BO80" s="167"/>
      <c r="BP80" s="167"/>
      <c r="BQ80" s="167" t="str">
        <f t="shared" si="157"/>
        <v/>
      </c>
      <c r="BR80" s="167">
        <f t="shared" si="55"/>
        <v>9</v>
      </c>
      <c r="BS80" s="167">
        <f t="shared" si="56"/>
        <v>9</v>
      </c>
      <c r="BT80" s="167">
        <f t="shared" si="57"/>
        <v>9</v>
      </c>
      <c r="BW80" s="167"/>
      <c r="BX80" s="167"/>
      <c r="BY80" s="230"/>
      <c r="BZ80" s="167"/>
      <c r="CA80" s="680"/>
      <c r="CB80" s="167"/>
      <c r="CE80" s="99"/>
      <c r="CG80" s="681"/>
    </row>
    <row r="81" spans="1:85" ht="15.75" thickBot="1" x14ac:dyDescent="0.3">
      <c r="A81" s="96">
        <v>73</v>
      </c>
      <c r="B81" s="96" t="str">
        <f t="shared" si="163"/>
        <v>Ene 03b</v>
      </c>
      <c r="C81" s="96" t="str">
        <f t="shared" si="159"/>
        <v>Ene 03</v>
      </c>
      <c r="D81" s="163" t="s">
        <v>697</v>
      </c>
      <c r="E81" s="1124" t="s">
        <v>630</v>
      </c>
      <c r="F81" s="775">
        <v>1</v>
      </c>
      <c r="G81" s="775">
        <v>1</v>
      </c>
      <c r="H81" s="775">
        <v>1</v>
      </c>
      <c r="I81" s="775">
        <v>1</v>
      </c>
      <c r="J81" s="775">
        <v>1</v>
      </c>
      <c r="K81" s="775">
        <v>1</v>
      </c>
      <c r="L81" s="775">
        <v>1</v>
      </c>
      <c r="M81" s="775">
        <v>1</v>
      </c>
      <c r="N81" s="775">
        <v>1</v>
      </c>
      <c r="O81" s="775">
        <v>1</v>
      </c>
      <c r="P81" s="775">
        <v>1</v>
      </c>
      <c r="Q81" s="775">
        <v>1</v>
      </c>
      <c r="R81" s="775">
        <v>1</v>
      </c>
      <c r="T81" s="221">
        <f t="shared" si="133"/>
        <v>1</v>
      </c>
      <c r="U81" s="222">
        <f>IF(U80=0,1,0)</f>
        <v>1</v>
      </c>
      <c r="V81" s="168"/>
      <c r="W81" s="241">
        <f>IF(W80=0,1,0)</f>
        <v>1</v>
      </c>
      <c r="X81" s="239"/>
      <c r="Y81" s="1160"/>
      <c r="Z81" s="168">
        <f>VLOOKUP(B81,'Manuell filtrering og justering'!$A$7:$H$107,'Manuell filtrering og justering'!$H$1,FALSE)</f>
        <v>1</v>
      </c>
      <c r="AA81" s="169">
        <f>IF(SUM(U81:V81)&gt;T81,T81,SUM(U81:V81))</f>
        <v>1</v>
      </c>
      <c r="AB81" s="1037">
        <f>IF($AC$5='Manuell filtrering og justering'!$J$2,Z81-W81,(T81-AA81))</f>
        <v>0</v>
      </c>
      <c r="AD81" s="171">
        <f t="shared" si="136"/>
        <v>0</v>
      </c>
      <c r="AE81" s="171">
        <f t="shared" si="144"/>
        <v>0</v>
      </c>
      <c r="AF81" s="171">
        <f t="shared" si="145"/>
        <v>0</v>
      </c>
      <c r="AG81" s="171">
        <f t="shared" si="146"/>
        <v>0</v>
      </c>
      <c r="AI81" s="172">
        <f>IF(VLOOKUP(E81,'Pre-Assessment Estimator'!$E$11:$Z$225,'Pre-Assessment Estimator'!$G$2,FALSE)&gt;AB81,AB81,VLOOKUP(E81,'Pre-Assessment Estimator'!$E$11:$Z$225,'Pre-Assessment Estimator'!$G$2,FALSE))</f>
        <v>0</v>
      </c>
      <c r="AJ81" s="172">
        <f>IF(VLOOKUP(E81,'Pre-Assessment Estimator'!$E$11:$Z$225,'Pre-Assessment Estimator'!$N$2,FALSE)&gt;AB81,AB81,VLOOKUP(E81,'Pre-Assessment Estimator'!$E$11:$Z$225,'Pre-Assessment Estimator'!$N$2,FALSE))</f>
        <v>0</v>
      </c>
      <c r="AK81" s="172">
        <f>IF(VLOOKUP(E81,'Pre-Assessment Estimator'!$E$11:$Z$225,'Pre-Assessment Estimator'!$U$2,FALSE)&gt;AB81,AB81,VLOOKUP(E81,'Pre-Assessment Estimator'!$E$11:$Z$225,'Pre-Assessment Estimator'!$U$2,FALSE))</f>
        <v>0</v>
      </c>
      <c r="AM81" s="292"/>
      <c r="AN81" s="293"/>
      <c r="AO81" s="293"/>
      <c r="AP81" s="293"/>
      <c r="AQ81" s="294"/>
      <c r="AS81" s="292"/>
      <c r="AT81" s="293"/>
      <c r="AU81" s="293"/>
      <c r="AV81" s="293"/>
      <c r="AW81" s="294"/>
      <c r="AY81" s="188"/>
      <c r="AZ81" s="189"/>
      <c r="BA81" s="189"/>
      <c r="BB81" s="189"/>
      <c r="BC81" s="190"/>
      <c r="BD81" s="182">
        <f t="shared" si="160"/>
        <v>9</v>
      </c>
      <c r="BE81" s="164" t="str">
        <f t="shared" si="139"/>
        <v>N/A</v>
      </c>
      <c r="BF81" s="185"/>
      <c r="BG81" s="182">
        <f t="shared" si="161"/>
        <v>9</v>
      </c>
      <c r="BH81" s="164" t="str">
        <f t="shared" si="141"/>
        <v>N/A</v>
      </c>
      <c r="BI81" s="185"/>
      <c r="BJ81" s="182">
        <f t="shared" si="162"/>
        <v>9</v>
      </c>
      <c r="BK81" s="164" t="str">
        <f t="shared" si="142"/>
        <v>N/A</v>
      </c>
      <c r="BL81" s="185"/>
      <c r="BO81" s="167"/>
      <c r="BP81" s="167"/>
      <c r="BQ81" s="167" t="str">
        <f t="shared" si="157"/>
        <v/>
      </c>
      <c r="BR81" s="167">
        <f t="shared" si="55"/>
        <v>9</v>
      </c>
      <c r="BS81" s="167">
        <f t="shared" si="56"/>
        <v>9</v>
      </c>
      <c r="BT81" s="167">
        <f t="shared" si="57"/>
        <v>9</v>
      </c>
      <c r="BW81" s="167"/>
      <c r="BX81" s="167"/>
      <c r="BY81" s="230"/>
      <c r="BZ81" s="167"/>
      <c r="CA81" s="680"/>
      <c r="CB81" s="167"/>
      <c r="CE81" s="99"/>
      <c r="CG81" s="681"/>
    </row>
    <row r="82" spans="1:85" x14ac:dyDescent="0.25">
      <c r="A82" s="96">
        <v>74</v>
      </c>
      <c r="D82" s="701" t="s">
        <v>139</v>
      </c>
      <c r="E82" s="700"/>
      <c r="F82" s="934"/>
      <c r="G82" s="934"/>
      <c r="H82" s="934"/>
      <c r="I82" s="934"/>
      <c r="J82" s="934"/>
      <c r="K82" s="934"/>
      <c r="L82" s="934"/>
      <c r="M82" s="934"/>
      <c r="N82" s="934"/>
      <c r="O82" s="934"/>
      <c r="P82" s="934"/>
      <c r="Q82" s="934"/>
      <c r="R82" s="934"/>
      <c r="T82" s="956"/>
      <c r="U82" s="701"/>
      <c r="V82" s="700"/>
      <c r="W82" s="1101"/>
      <c r="X82" s="700"/>
      <c r="Y82" s="955"/>
      <c r="Z82" s="168"/>
      <c r="AA82" s="956"/>
      <c r="AB82" s="957"/>
      <c r="AD82" s="171">
        <f t="shared" si="136"/>
        <v>0</v>
      </c>
      <c r="AE82" s="960"/>
      <c r="AF82" s="960"/>
      <c r="AG82" s="960"/>
      <c r="AI82" s="720"/>
      <c r="AJ82" s="720"/>
      <c r="AK82" s="720"/>
      <c r="AM82" s="291"/>
      <c r="AN82" s="181"/>
      <c r="AO82" s="181"/>
      <c r="AP82" s="181"/>
      <c r="AQ82" s="186"/>
      <c r="AS82" s="291"/>
      <c r="AT82" s="181"/>
      <c r="AU82" s="181"/>
      <c r="AV82" s="181"/>
      <c r="AW82" s="186"/>
      <c r="AY82" s="182"/>
      <c r="AZ82" s="183"/>
      <c r="BA82" s="183"/>
      <c r="BB82" s="183"/>
      <c r="BC82" s="187"/>
      <c r="BD82" s="182">
        <f t="shared" si="160"/>
        <v>9</v>
      </c>
      <c r="BE82" s="164" t="str">
        <f t="shared" si="139"/>
        <v>N/A</v>
      </c>
      <c r="BF82" s="185"/>
      <c r="BG82" s="182">
        <f t="shared" si="161"/>
        <v>9</v>
      </c>
      <c r="BH82" s="164" t="str">
        <f t="shared" si="141"/>
        <v>N/A</v>
      </c>
      <c r="BI82" s="185"/>
      <c r="BJ82" s="182">
        <f t="shared" si="162"/>
        <v>9</v>
      </c>
      <c r="BK82" s="164" t="str">
        <f t="shared" si="142"/>
        <v>N/A</v>
      </c>
      <c r="BL82" s="185"/>
      <c r="BO82" s="167"/>
      <c r="BP82" s="167"/>
      <c r="BQ82" s="167" t="str">
        <f t="shared" si="157"/>
        <v/>
      </c>
      <c r="BR82" s="167">
        <f t="shared" si="55"/>
        <v>9</v>
      </c>
      <c r="BS82" s="167">
        <f t="shared" si="56"/>
        <v>9</v>
      </c>
      <c r="BT82" s="167">
        <f t="shared" si="57"/>
        <v>9</v>
      </c>
      <c r="BW82" s="167" t="str">
        <f>D82</f>
        <v>Ene 04</v>
      </c>
      <c r="BX82" s="167" t="str">
        <f>IFERROR(VLOOKUP($E82,'Pre-Assessment Estimator'!$E$11:$AB$225,'Pre-Assessment Estimator'!AB$2,FALSE),"")</f>
        <v/>
      </c>
      <c r="BY82" s="167" t="str">
        <f>IFERROR(VLOOKUP($E82,'Pre-Assessment Estimator'!$E$11:$AI$225,'Pre-Assessment Estimator'!AI$2,FALSE),"")</f>
        <v/>
      </c>
      <c r="BZ82" s="167" t="str">
        <f>IFERROR(VLOOKUP($BX82,$E$292:$H$325,F$290,FALSE),"")</f>
        <v/>
      </c>
      <c r="CA82" s="167" t="str">
        <f>IFERROR(VLOOKUP($BX82,$E$292:$H$325,G$290,FALSE),"")</f>
        <v/>
      </c>
      <c r="CB82" s="167"/>
      <c r="CC82" s="96" t="str">
        <f>IFERROR(VLOOKUP($BX82,$E$292:$H$325,I$290,FALSE),"")</f>
        <v/>
      </c>
    </row>
    <row r="83" spans="1:85" x14ac:dyDescent="0.25">
      <c r="A83" s="96">
        <v>75</v>
      </c>
      <c r="B83" s="137" t="str">
        <f>D83</f>
        <v>Ene 05</v>
      </c>
      <c r="C83" s="137" t="str">
        <f>B83</f>
        <v>Ene 05</v>
      </c>
      <c r="D83" s="834" t="s">
        <v>140</v>
      </c>
      <c r="E83" s="832" t="s">
        <v>131</v>
      </c>
      <c r="F83" s="933">
        <f t="shared" ref="F83:R83" si="164">SUM(F84:F85)</f>
        <v>2</v>
      </c>
      <c r="G83" s="933">
        <f t="shared" si="164"/>
        <v>2</v>
      </c>
      <c r="H83" s="933">
        <f t="shared" si="164"/>
        <v>0</v>
      </c>
      <c r="I83" s="933">
        <f t="shared" si="164"/>
        <v>2</v>
      </c>
      <c r="J83" s="933">
        <f t="shared" si="164"/>
        <v>2</v>
      </c>
      <c r="K83" s="933">
        <f t="shared" si="164"/>
        <v>2</v>
      </c>
      <c r="L83" s="933">
        <f t="shared" si="164"/>
        <v>2</v>
      </c>
      <c r="M83" s="933">
        <f t="shared" si="164"/>
        <v>2</v>
      </c>
      <c r="N83" s="933">
        <f t="shared" si="164"/>
        <v>2</v>
      </c>
      <c r="O83" s="933">
        <f t="shared" si="164"/>
        <v>2</v>
      </c>
      <c r="P83" s="933">
        <f t="shared" si="164"/>
        <v>2</v>
      </c>
      <c r="Q83" s="933">
        <f t="shared" ref="Q83" si="165">SUM(Q84:Q85)</f>
        <v>2</v>
      </c>
      <c r="R83" s="933">
        <f t="shared" si="164"/>
        <v>2</v>
      </c>
      <c r="T83" s="963">
        <f t="shared" ref="T83:T94" si="166">HLOOKUP($E$6,$F$9:$R$231,$A83,FALSE)</f>
        <v>2</v>
      </c>
      <c r="U83" s="222">
        <f>U84+U85</f>
        <v>0</v>
      </c>
      <c r="V83" s="230"/>
      <c r="W83" s="230"/>
      <c r="X83" s="230">
        <f>'Manuell filtrering og justering'!E33</f>
        <v>0</v>
      </c>
      <c r="Y83" s="230"/>
      <c r="Z83" s="958">
        <f t="shared" ref="Z83" si="167">SUM(Z84:Z85)</f>
        <v>0</v>
      </c>
      <c r="AA83" s="963">
        <f t="shared" ref="AA83:AA94" si="168">IF(SUM(U83:Y83)&gt;T83,T83,SUM(U83:Y83))</f>
        <v>0</v>
      </c>
      <c r="AB83" s="1067">
        <f t="shared" ref="AB83" si="169">SUM(AB84:AB85)</f>
        <v>2</v>
      </c>
      <c r="AD83" s="171">
        <f t="shared" si="136"/>
        <v>1.0370370370370372E-2</v>
      </c>
      <c r="AE83" s="921">
        <f>SUM(AE84:AE85)</f>
        <v>0</v>
      </c>
      <c r="AF83" s="921">
        <f t="shared" ref="AF83:AG83" si="170">SUM(AF84:AF85)</f>
        <v>0</v>
      </c>
      <c r="AG83" s="921">
        <f t="shared" si="170"/>
        <v>0</v>
      </c>
      <c r="AI83" s="958">
        <f t="shared" ref="AI83:AK83" si="171">SUM(AI84:AI85)</f>
        <v>0</v>
      </c>
      <c r="AJ83" s="958">
        <f t="shared" si="171"/>
        <v>0</v>
      </c>
      <c r="AK83" s="958">
        <f t="shared" si="171"/>
        <v>0</v>
      </c>
      <c r="AL83" s="96" t="s">
        <v>427</v>
      </c>
      <c r="AM83" s="292"/>
      <c r="AN83" s="293"/>
      <c r="AO83" s="293"/>
      <c r="AP83" s="293"/>
      <c r="AQ83" s="294"/>
      <c r="AS83" s="292"/>
      <c r="AT83" s="293"/>
      <c r="AU83" s="293"/>
      <c r="AV83" s="293"/>
      <c r="AW83" s="294"/>
      <c r="AY83" s="188"/>
      <c r="AZ83" s="189"/>
      <c r="BA83" s="189"/>
      <c r="BB83" s="189"/>
      <c r="BC83" s="190"/>
      <c r="BD83" s="182">
        <f t="shared" si="160"/>
        <v>9</v>
      </c>
      <c r="BE83" s="164" t="str">
        <f t="shared" si="139"/>
        <v>N/A</v>
      </c>
      <c r="BF83" s="185"/>
      <c r="BG83" s="182">
        <f t="shared" si="161"/>
        <v>9</v>
      </c>
      <c r="BH83" s="164" t="str">
        <f t="shared" si="141"/>
        <v>N/A</v>
      </c>
      <c r="BI83" s="185"/>
      <c r="BJ83" s="182">
        <f t="shared" si="162"/>
        <v>9</v>
      </c>
      <c r="BK83" s="164" t="str">
        <f t="shared" si="142"/>
        <v>N/A</v>
      </c>
      <c r="BL83" s="185"/>
      <c r="BO83" s="167"/>
      <c r="BP83" s="167"/>
      <c r="BQ83" s="167" t="str">
        <f t="shared" si="157"/>
        <v/>
      </c>
      <c r="BR83" s="167">
        <f t="shared" si="55"/>
        <v>9</v>
      </c>
      <c r="BS83" s="167">
        <f t="shared" si="56"/>
        <v>9</v>
      </c>
      <c r="BT83" s="167">
        <f t="shared" si="57"/>
        <v>9</v>
      </c>
      <c r="BW83" s="167" t="str">
        <f>D83</f>
        <v>Ene 05</v>
      </c>
      <c r="BX83" s="167" t="str">
        <f>IFERROR(VLOOKUP($E83,'Pre-Assessment Estimator'!$E$11:$AB$225,'Pre-Assessment Estimator'!AB$2,FALSE),"")</f>
        <v>No</v>
      </c>
      <c r="BY83" s="230" t="str">
        <f>IFERROR(VLOOKUP($E83,'Pre-Assessment Estimator'!$E$11:$AI$225,'Pre-Assessment Estimator'!AI$2,FALSE),"")</f>
        <v>Ja</v>
      </c>
      <c r="BZ83" s="167">
        <f>IFERROR(VLOOKUP($BX83,$E$292:$H$325,F$290,FALSE),"")</f>
        <v>1</v>
      </c>
      <c r="CA83" s="680" t="s">
        <v>432</v>
      </c>
      <c r="CB83" s="167"/>
      <c r="CC83" s="96" t="str">
        <f>IFERROR(VLOOKUP($BX83,$E$292:$H$325,I$290,FALSE),"")</f>
        <v/>
      </c>
      <c r="CD83" s="96" t="s">
        <v>405</v>
      </c>
      <c r="CE83" s="167">
        <f>VLOOKUP(CA83,$CA$4:$CB$5,2,FALSE)</f>
        <v>1</v>
      </c>
      <c r="CG83" s="681">
        <f>IF($BX$5=ais_nei,CE83,IF(AND(CA83=$CA$4,BX83=$CC$4),0,BZ83))</f>
        <v>1</v>
      </c>
    </row>
    <row r="84" spans="1:85" x14ac:dyDescent="0.25">
      <c r="A84" s="96">
        <v>76</v>
      </c>
      <c r="B84" s="96" t="str">
        <f t="shared" ref="B84:B85" si="172">$D$83&amp;D84</f>
        <v>Ene 05a</v>
      </c>
      <c r="C84" s="96" t="str">
        <f t="shared" si="159"/>
        <v>Ene 05</v>
      </c>
      <c r="D84" s="163" t="s">
        <v>694</v>
      </c>
      <c r="E84" s="1124" t="s">
        <v>631</v>
      </c>
      <c r="F84" s="775">
        <v>1</v>
      </c>
      <c r="G84" s="775">
        <v>1</v>
      </c>
      <c r="H84" s="775">
        <v>0</v>
      </c>
      <c r="I84" s="775">
        <v>1</v>
      </c>
      <c r="J84" s="775">
        <v>1</v>
      </c>
      <c r="K84" s="775">
        <v>1</v>
      </c>
      <c r="L84" s="775">
        <v>1</v>
      </c>
      <c r="M84" s="775">
        <v>1</v>
      </c>
      <c r="N84" s="775">
        <v>1</v>
      </c>
      <c r="O84" s="775">
        <v>1</v>
      </c>
      <c r="P84" s="775">
        <v>1</v>
      </c>
      <c r="Q84" s="775">
        <v>1</v>
      </c>
      <c r="R84" s="775">
        <v>1</v>
      </c>
      <c r="T84" s="221">
        <f t="shared" si="166"/>
        <v>1</v>
      </c>
      <c r="U84" s="222">
        <f>IF(AD_refrig=AD_no,T84,0)</f>
        <v>0</v>
      </c>
      <c r="V84" s="167"/>
      <c r="W84" s="167"/>
      <c r="X84" s="167"/>
      <c r="Y84" s="169">
        <f>IF($Y$4=$Y$6,T84,0)</f>
        <v>0</v>
      </c>
      <c r="Z84" s="168">
        <f>VLOOKUP(B84,'Manuell filtrering og justering'!$A$7:$H$107,'Manuell filtrering og justering'!$H$1,FALSE)</f>
        <v>0</v>
      </c>
      <c r="AA84" s="169">
        <f t="shared" si="168"/>
        <v>0</v>
      </c>
      <c r="AB84" s="170">
        <f>IF($AC$5='Manuell filtrering og justering'!$J$2,Z84,(T84-AA84))</f>
        <v>1</v>
      </c>
      <c r="AD84" s="171">
        <f t="shared" si="136"/>
        <v>5.1851851851851859E-3</v>
      </c>
      <c r="AE84" s="171">
        <f t="shared" si="144"/>
        <v>0</v>
      </c>
      <c r="AF84" s="171">
        <f t="shared" si="145"/>
        <v>0</v>
      </c>
      <c r="AG84" s="171">
        <f t="shared" si="146"/>
        <v>0</v>
      </c>
      <c r="AI84" s="172">
        <f>IF(VLOOKUP(E84,'Pre-Assessment Estimator'!$E$11:$Z$225,'Pre-Assessment Estimator'!$G$2,FALSE)&gt;AB84,AB84,VLOOKUP(E84,'Pre-Assessment Estimator'!$E$11:$Z$225,'Pre-Assessment Estimator'!$G$2,FALSE))</f>
        <v>0</v>
      </c>
      <c r="AJ84" s="172">
        <f>IF(VLOOKUP(E84,'Pre-Assessment Estimator'!$E$11:$Z$225,'Pre-Assessment Estimator'!$N$2,FALSE)&gt;AB84,AB84,VLOOKUP(E84,'Pre-Assessment Estimator'!$E$11:$Z$225,'Pre-Assessment Estimator'!$N$2,FALSE))</f>
        <v>0</v>
      </c>
      <c r="AK84" s="172">
        <f>IF(VLOOKUP(E84,'Pre-Assessment Estimator'!$E$11:$Z$225,'Pre-Assessment Estimator'!$U$2,FALSE)&gt;AB84,AB84,VLOOKUP(E84,'Pre-Assessment Estimator'!$E$11:$Z$225,'Pre-Assessment Estimator'!$U$2,FALSE))</f>
        <v>0</v>
      </c>
      <c r="AM84" s="292"/>
      <c r="AN84" s="293"/>
      <c r="AO84" s="293"/>
      <c r="AP84" s="293"/>
      <c r="AQ84" s="294"/>
      <c r="AS84" s="292"/>
      <c r="AT84" s="293"/>
      <c r="AU84" s="293"/>
      <c r="AV84" s="293"/>
      <c r="AW84" s="294"/>
      <c r="AY84" s="188"/>
      <c r="AZ84" s="189"/>
      <c r="BA84" s="189"/>
      <c r="BB84" s="189"/>
      <c r="BC84" s="190"/>
      <c r="BD84" s="182">
        <f t="shared" si="160"/>
        <v>9</v>
      </c>
      <c r="BE84" s="164" t="str">
        <f t="shared" si="139"/>
        <v>N/A</v>
      </c>
      <c r="BF84" s="185"/>
      <c r="BG84" s="182">
        <f t="shared" si="161"/>
        <v>9</v>
      </c>
      <c r="BH84" s="164" t="str">
        <f t="shared" si="141"/>
        <v>N/A</v>
      </c>
      <c r="BI84" s="185"/>
      <c r="BJ84" s="182">
        <f t="shared" si="162"/>
        <v>9</v>
      </c>
      <c r="BK84" s="164" t="str">
        <f t="shared" si="142"/>
        <v>N/A</v>
      </c>
      <c r="BL84" s="185"/>
      <c r="BO84" s="167"/>
      <c r="BP84" s="167"/>
      <c r="BQ84" s="167" t="str">
        <f t="shared" si="157"/>
        <v/>
      </c>
      <c r="BR84" s="167">
        <f t="shared" si="55"/>
        <v>9</v>
      </c>
      <c r="BS84" s="167">
        <f t="shared" si="56"/>
        <v>9</v>
      </c>
      <c r="BT84" s="167">
        <f t="shared" si="57"/>
        <v>9</v>
      </c>
      <c r="BW84" s="167"/>
      <c r="BX84" s="167"/>
      <c r="BY84" s="230"/>
      <c r="BZ84" s="167"/>
      <c r="CA84" s="680"/>
      <c r="CB84" s="167"/>
      <c r="CE84" s="99"/>
      <c r="CG84" s="681"/>
    </row>
    <row r="85" spans="1:85" x14ac:dyDescent="0.25">
      <c r="A85" s="96">
        <v>77</v>
      </c>
      <c r="B85" s="96" t="str">
        <f t="shared" si="172"/>
        <v>Ene 05b</v>
      </c>
      <c r="C85" s="96" t="str">
        <f t="shared" si="159"/>
        <v>Ene 05</v>
      </c>
      <c r="D85" s="163" t="s">
        <v>697</v>
      </c>
      <c r="E85" s="1124" t="s">
        <v>632</v>
      </c>
      <c r="F85" s="775">
        <v>1</v>
      </c>
      <c r="G85" s="775">
        <v>1</v>
      </c>
      <c r="H85" s="775">
        <v>0</v>
      </c>
      <c r="I85" s="775">
        <v>1</v>
      </c>
      <c r="J85" s="775">
        <v>1</v>
      </c>
      <c r="K85" s="775">
        <v>1</v>
      </c>
      <c r="L85" s="775">
        <v>1</v>
      </c>
      <c r="M85" s="775">
        <v>1</v>
      </c>
      <c r="N85" s="775">
        <v>1</v>
      </c>
      <c r="O85" s="775">
        <v>1</v>
      </c>
      <c r="P85" s="775">
        <v>1</v>
      </c>
      <c r="Q85" s="775">
        <v>1</v>
      </c>
      <c r="R85" s="775">
        <v>1</v>
      </c>
      <c r="T85" s="221">
        <f t="shared" si="166"/>
        <v>1</v>
      </c>
      <c r="U85" s="222">
        <f>IF(AD_refrig=AD_no,T85,0)</f>
        <v>0</v>
      </c>
      <c r="V85" s="167"/>
      <c r="W85" s="167"/>
      <c r="X85" s="167"/>
      <c r="Y85" s="169">
        <f>IF($Y$4=$Y$6,T85,0)</f>
        <v>0</v>
      </c>
      <c r="Z85" s="168">
        <f>VLOOKUP(B85,'Manuell filtrering og justering'!$A$7:$H$107,'Manuell filtrering og justering'!$H$1,FALSE)</f>
        <v>0</v>
      </c>
      <c r="AA85" s="169">
        <f t="shared" si="168"/>
        <v>0</v>
      </c>
      <c r="AB85" s="170">
        <f>IF($AC$5='Manuell filtrering og justering'!$J$2,Z85,(T85-AA85))</f>
        <v>1</v>
      </c>
      <c r="AD85" s="171">
        <f t="shared" si="136"/>
        <v>5.1851851851851859E-3</v>
      </c>
      <c r="AE85" s="171">
        <f t="shared" si="144"/>
        <v>0</v>
      </c>
      <c r="AF85" s="171">
        <f t="shared" si="145"/>
        <v>0</v>
      </c>
      <c r="AG85" s="171">
        <f t="shared" si="146"/>
        <v>0</v>
      </c>
      <c r="AI85" s="172">
        <f>IF(VLOOKUP(E85,'Pre-Assessment Estimator'!$E$11:$Z$225,'Pre-Assessment Estimator'!$G$2,FALSE)&gt;AB85,AB85,VLOOKUP(E85,'Pre-Assessment Estimator'!$E$11:$Z$225,'Pre-Assessment Estimator'!$G$2,FALSE))</f>
        <v>0</v>
      </c>
      <c r="AJ85" s="172">
        <f>IF(VLOOKUP(E85,'Pre-Assessment Estimator'!$E$11:$Z$225,'Pre-Assessment Estimator'!$N$2,FALSE)&gt;AB85,AB85,VLOOKUP(E85,'Pre-Assessment Estimator'!$E$11:$Z$225,'Pre-Assessment Estimator'!$N$2,FALSE))</f>
        <v>0</v>
      </c>
      <c r="AK85" s="172">
        <f>IF(VLOOKUP(E85,'Pre-Assessment Estimator'!$E$11:$Z$225,'Pre-Assessment Estimator'!$U$2,FALSE)&gt;AB85,AB85,VLOOKUP(E85,'Pre-Assessment Estimator'!$E$11:$Z$225,'Pre-Assessment Estimator'!$U$2,FALSE))</f>
        <v>0</v>
      </c>
      <c r="AM85" s="292"/>
      <c r="AN85" s="293"/>
      <c r="AO85" s="293"/>
      <c r="AP85" s="293"/>
      <c r="AQ85" s="294"/>
      <c r="AS85" s="292"/>
      <c r="AT85" s="293"/>
      <c r="AU85" s="293"/>
      <c r="AV85" s="293"/>
      <c r="AW85" s="294"/>
      <c r="AY85" s="188"/>
      <c r="AZ85" s="189"/>
      <c r="BA85" s="189"/>
      <c r="BB85" s="189"/>
      <c r="BC85" s="190"/>
      <c r="BD85" s="182">
        <f t="shared" si="160"/>
        <v>9</v>
      </c>
      <c r="BE85" s="164" t="str">
        <f t="shared" si="139"/>
        <v>N/A</v>
      </c>
      <c r="BF85" s="185"/>
      <c r="BG85" s="182">
        <f t="shared" si="161"/>
        <v>9</v>
      </c>
      <c r="BH85" s="164" t="str">
        <f t="shared" si="141"/>
        <v>N/A</v>
      </c>
      <c r="BI85" s="185"/>
      <c r="BJ85" s="182">
        <f t="shared" si="162"/>
        <v>9</v>
      </c>
      <c r="BK85" s="164" t="str">
        <f t="shared" si="142"/>
        <v>N/A</v>
      </c>
      <c r="BL85" s="185"/>
      <c r="BO85" s="167"/>
      <c r="BP85" s="167"/>
      <c r="BQ85" s="167" t="str">
        <f t="shared" si="157"/>
        <v/>
      </c>
      <c r="BR85" s="167">
        <f t="shared" si="55"/>
        <v>9</v>
      </c>
      <c r="BS85" s="167">
        <f t="shared" si="56"/>
        <v>9</v>
      </c>
      <c r="BT85" s="167">
        <f t="shared" si="57"/>
        <v>9</v>
      </c>
      <c r="BW85" s="167"/>
      <c r="BX85" s="167"/>
      <c r="BY85" s="230"/>
      <c r="BZ85" s="167"/>
      <c r="CA85" s="680"/>
      <c r="CB85" s="167"/>
      <c r="CE85" s="99"/>
      <c r="CG85" s="681"/>
    </row>
    <row r="86" spans="1:85" x14ac:dyDescent="0.25">
      <c r="A86" s="96">
        <v>78</v>
      </c>
      <c r="B86" s="137" t="str">
        <f>D86</f>
        <v>Ene 06</v>
      </c>
      <c r="C86" s="137" t="str">
        <f>B86</f>
        <v>Ene 06</v>
      </c>
      <c r="D86" s="834" t="s">
        <v>141</v>
      </c>
      <c r="E86" s="832" t="s">
        <v>132</v>
      </c>
      <c r="F86" s="933">
        <f t="shared" ref="F86:R86" si="173">SUM(F87:F89)</f>
        <v>3</v>
      </c>
      <c r="G86" s="933">
        <f t="shared" si="173"/>
        <v>3</v>
      </c>
      <c r="H86" s="933">
        <f t="shared" si="173"/>
        <v>3</v>
      </c>
      <c r="I86" s="933">
        <f t="shared" si="173"/>
        <v>3</v>
      </c>
      <c r="J86" s="933">
        <f t="shared" si="173"/>
        <v>3</v>
      </c>
      <c r="K86" s="933">
        <f t="shared" si="173"/>
        <v>3</v>
      </c>
      <c r="L86" s="933">
        <f t="shared" si="173"/>
        <v>3</v>
      </c>
      <c r="M86" s="933">
        <f t="shared" si="173"/>
        <v>3</v>
      </c>
      <c r="N86" s="933">
        <f t="shared" si="173"/>
        <v>3</v>
      </c>
      <c r="O86" s="933">
        <f t="shared" si="173"/>
        <v>3</v>
      </c>
      <c r="P86" s="933">
        <f t="shared" si="173"/>
        <v>3</v>
      </c>
      <c r="Q86" s="933">
        <f t="shared" ref="Q86" si="174">SUM(Q87:Q89)</f>
        <v>3</v>
      </c>
      <c r="R86" s="933">
        <f t="shared" si="173"/>
        <v>3</v>
      </c>
      <c r="T86" s="963">
        <f t="shared" si="166"/>
        <v>3</v>
      </c>
      <c r="U86" s="230">
        <f>U87+U88+U89</f>
        <v>0</v>
      </c>
      <c r="V86" s="230"/>
      <c r="W86" s="230"/>
      <c r="X86" s="230">
        <f>'Manuell filtrering og justering'!E34</f>
        <v>0</v>
      </c>
      <c r="Y86" s="230"/>
      <c r="Z86" s="958">
        <f t="shared" ref="Z86" si="175">SUM(Z87:Z89)</f>
        <v>3</v>
      </c>
      <c r="AA86" s="963">
        <f t="shared" si="168"/>
        <v>0</v>
      </c>
      <c r="AB86" s="1067">
        <f>SUM(AB87:AB89)</f>
        <v>3</v>
      </c>
      <c r="AD86" s="171">
        <f t="shared" si="136"/>
        <v>1.5555555555555559E-2</v>
      </c>
      <c r="AE86" s="921">
        <f>SUM(AE87:AE89)</f>
        <v>0</v>
      </c>
      <c r="AF86" s="921">
        <f t="shared" ref="AF86:AG86" si="176">SUM(AF87:AF89)</f>
        <v>0</v>
      </c>
      <c r="AG86" s="921">
        <f t="shared" si="176"/>
        <v>0</v>
      </c>
      <c r="AI86" s="958">
        <f t="shared" ref="AI86:AK86" si="177">SUM(AI87:AI89)</f>
        <v>0</v>
      </c>
      <c r="AJ86" s="958">
        <f t="shared" si="177"/>
        <v>0</v>
      </c>
      <c r="AK86" s="958">
        <f t="shared" si="177"/>
        <v>0</v>
      </c>
      <c r="AM86" s="292"/>
      <c r="AN86" s="293"/>
      <c r="AO86" s="293"/>
      <c r="AP86" s="293"/>
      <c r="AQ86" s="294"/>
      <c r="AS86" s="292"/>
      <c r="AT86" s="293"/>
      <c r="AU86" s="293"/>
      <c r="AV86" s="293"/>
      <c r="AW86" s="294"/>
      <c r="AY86" s="188"/>
      <c r="AZ86" s="189"/>
      <c r="BA86" s="189"/>
      <c r="BB86" s="189"/>
      <c r="BC86" s="190"/>
      <c r="BD86" s="182">
        <f t="shared" si="160"/>
        <v>9</v>
      </c>
      <c r="BE86" s="164" t="str">
        <f t="shared" si="139"/>
        <v>N/A</v>
      </c>
      <c r="BF86" s="185"/>
      <c r="BG86" s="182">
        <f t="shared" si="161"/>
        <v>9</v>
      </c>
      <c r="BH86" s="164" t="str">
        <f t="shared" si="141"/>
        <v>N/A</v>
      </c>
      <c r="BI86" s="185"/>
      <c r="BJ86" s="182">
        <f t="shared" si="162"/>
        <v>9</v>
      </c>
      <c r="BK86" s="164" t="str">
        <f t="shared" si="142"/>
        <v>N/A</v>
      </c>
      <c r="BL86" s="185"/>
      <c r="BO86" s="167"/>
      <c r="BP86" s="167"/>
      <c r="BQ86" s="167" t="str">
        <f t="shared" si="157"/>
        <v/>
      </c>
      <c r="BR86" s="167">
        <f t="shared" si="55"/>
        <v>9</v>
      </c>
      <c r="BS86" s="167">
        <f t="shared" si="56"/>
        <v>9</v>
      </c>
      <c r="BT86" s="167">
        <f t="shared" si="57"/>
        <v>9</v>
      </c>
      <c r="BW86" s="167" t="str">
        <f>D86</f>
        <v>Ene 06</v>
      </c>
      <c r="BX86" s="167" t="str">
        <f>IFERROR(VLOOKUP($E86,'Pre-Assessment Estimator'!$E$11:$AB$225,'Pre-Assessment Estimator'!AB$2,FALSE),"")</f>
        <v>No</v>
      </c>
      <c r="BY86" s="167">
        <f>IFERROR(VLOOKUP($E86,'Pre-Assessment Estimator'!$E$11:$AI$225,'Pre-Assessment Estimator'!AI$2,FALSE),"")</f>
        <v>0</v>
      </c>
      <c r="BZ86" s="167">
        <f>IFERROR(VLOOKUP($BX86,$E$292:$H$325,F$290,FALSE),"")</f>
        <v>1</v>
      </c>
      <c r="CA86" s="167">
        <f>IFERROR(VLOOKUP($BX86,$E$292:$H$325,G$290,FALSE),"")</f>
        <v>0</v>
      </c>
      <c r="CB86" s="167"/>
      <c r="CC86" s="96" t="str">
        <f>IFERROR(VLOOKUP($BX86,$E$292:$H$325,I$290,FALSE),"")</f>
        <v/>
      </c>
    </row>
    <row r="87" spans="1:85" x14ac:dyDescent="0.25">
      <c r="A87" s="96">
        <v>79</v>
      </c>
      <c r="B87" s="96" t="str">
        <f t="shared" ref="B87:B89" si="178">$D$86&amp;D87</f>
        <v>Ene 06a</v>
      </c>
      <c r="C87" s="96" t="str">
        <f t="shared" si="159"/>
        <v>Ene 06</v>
      </c>
      <c r="D87" s="163" t="s">
        <v>694</v>
      </c>
      <c r="E87" s="1124" t="s">
        <v>893</v>
      </c>
      <c r="F87" s="775">
        <v>1</v>
      </c>
      <c r="G87" s="775">
        <v>1</v>
      </c>
      <c r="H87" s="775">
        <v>1</v>
      </c>
      <c r="I87" s="775">
        <v>1</v>
      </c>
      <c r="J87" s="775">
        <v>1</v>
      </c>
      <c r="K87" s="775">
        <v>1</v>
      </c>
      <c r="L87" s="775">
        <v>1</v>
      </c>
      <c r="M87" s="775">
        <v>1</v>
      </c>
      <c r="N87" s="775">
        <v>1</v>
      </c>
      <c r="O87" s="775">
        <v>1</v>
      </c>
      <c r="P87" s="775">
        <v>1</v>
      </c>
      <c r="Q87" s="775">
        <v>1</v>
      </c>
      <c r="R87" s="775">
        <v>1</v>
      </c>
      <c r="T87" s="221">
        <f t="shared" si="166"/>
        <v>1</v>
      </c>
      <c r="U87" s="222">
        <f>IF(AD_Trans=AD_no,Poeng!T87,0)</f>
        <v>0</v>
      </c>
      <c r="V87" s="167"/>
      <c r="W87" s="167"/>
      <c r="X87" s="167"/>
      <c r="Y87" s="168"/>
      <c r="Z87" s="168">
        <f>VLOOKUP(B87,'Manuell filtrering og justering'!$A$7:$H$107,'Manuell filtrering og justering'!$H$1,FALSE)</f>
        <v>1</v>
      </c>
      <c r="AA87" s="169">
        <f t="shared" si="168"/>
        <v>0</v>
      </c>
      <c r="AB87" s="170">
        <f>IF($AC$5='Manuell filtrering og justering'!$J$2,Z87,(T87-AA87))</f>
        <v>1</v>
      </c>
      <c r="AD87" s="171">
        <f t="shared" si="136"/>
        <v>5.1851851851851859E-3</v>
      </c>
      <c r="AE87" s="171">
        <f t="shared" si="144"/>
        <v>0</v>
      </c>
      <c r="AF87" s="171">
        <f t="shared" si="145"/>
        <v>0</v>
      </c>
      <c r="AG87" s="171">
        <f t="shared" si="146"/>
        <v>0</v>
      </c>
      <c r="AI87" s="172">
        <f>IF(VLOOKUP(E87,'Pre-Assessment Estimator'!$E$11:$Z$225,'Pre-Assessment Estimator'!$G$2,FALSE)&gt;AB87,AB87,VLOOKUP(E87,'Pre-Assessment Estimator'!$E$11:$Z$225,'Pre-Assessment Estimator'!$G$2,FALSE))</f>
        <v>0</v>
      </c>
      <c r="AJ87" s="172">
        <f>IF(VLOOKUP(E87,'Pre-Assessment Estimator'!$E$11:$Z$225,'Pre-Assessment Estimator'!$N$2,FALSE)&gt;AB87,AB87,VLOOKUP(E87,'Pre-Assessment Estimator'!$E$11:$Z$225,'Pre-Assessment Estimator'!$N$2,FALSE))</f>
        <v>0</v>
      </c>
      <c r="AK87" s="172">
        <f>IF(VLOOKUP(E87,'Pre-Assessment Estimator'!$E$11:$Z$225,'Pre-Assessment Estimator'!$U$2,FALSE)&gt;AB87,AB87,VLOOKUP(E87,'Pre-Assessment Estimator'!$E$11:$Z$225,'Pre-Assessment Estimator'!$U$2,FALSE))</f>
        <v>0</v>
      </c>
      <c r="AM87" s="292"/>
      <c r="AN87" s="293"/>
      <c r="AO87" s="293"/>
      <c r="AP87" s="293"/>
      <c r="AQ87" s="294"/>
      <c r="AS87" s="292"/>
      <c r="AT87" s="293"/>
      <c r="AU87" s="293"/>
      <c r="AV87" s="293"/>
      <c r="AW87" s="294"/>
      <c r="AY87" s="188"/>
      <c r="AZ87" s="189"/>
      <c r="BA87" s="189"/>
      <c r="BB87" s="189"/>
      <c r="BC87" s="190"/>
      <c r="BD87" s="182">
        <f t="shared" si="160"/>
        <v>9</v>
      </c>
      <c r="BE87" s="164" t="str">
        <f t="shared" si="139"/>
        <v>N/A</v>
      </c>
      <c r="BF87" s="185"/>
      <c r="BG87" s="182">
        <f t="shared" si="161"/>
        <v>9</v>
      </c>
      <c r="BH87" s="164" t="str">
        <f t="shared" si="141"/>
        <v>N/A</v>
      </c>
      <c r="BI87" s="185"/>
      <c r="BJ87" s="182">
        <f t="shared" si="162"/>
        <v>9</v>
      </c>
      <c r="BK87" s="164" t="str">
        <f t="shared" si="142"/>
        <v>N/A</v>
      </c>
      <c r="BL87" s="185"/>
      <c r="BO87" s="167"/>
      <c r="BP87" s="167"/>
      <c r="BQ87" s="167" t="str">
        <f t="shared" si="157"/>
        <v/>
      </c>
      <c r="BR87" s="167">
        <f t="shared" si="55"/>
        <v>9</v>
      </c>
      <c r="BS87" s="167">
        <f t="shared" si="56"/>
        <v>9</v>
      </c>
      <c r="BT87" s="167">
        <f t="shared" si="57"/>
        <v>9</v>
      </c>
      <c r="BW87" s="167"/>
      <c r="BX87" s="167"/>
      <c r="BY87" s="167"/>
      <c r="BZ87" s="167"/>
      <c r="CA87" s="167"/>
      <c r="CB87" s="167"/>
    </row>
    <row r="88" spans="1:85" x14ac:dyDescent="0.25">
      <c r="A88" s="96">
        <v>80</v>
      </c>
      <c r="B88" s="96" t="str">
        <f t="shared" si="178"/>
        <v>Ene 06b</v>
      </c>
      <c r="C88" s="96" t="str">
        <f t="shared" si="159"/>
        <v>Ene 06</v>
      </c>
      <c r="D88" s="163" t="s">
        <v>697</v>
      </c>
      <c r="E88" s="1124" t="s">
        <v>1002</v>
      </c>
      <c r="F88" s="775">
        <v>1</v>
      </c>
      <c r="G88" s="775">
        <v>1</v>
      </c>
      <c r="H88" s="775">
        <v>1</v>
      </c>
      <c r="I88" s="775">
        <v>1</v>
      </c>
      <c r="J88" s="775">
        <v>1</v>
      </c>
      <c r="K88" s="775">
        <v>1</v>
      </c>
      <c r="L88" s="775">
        <v>1</v>
      </c>
      <c r="M88" s="775">
        <v>1</v>
      </c>
      <c r="N88" s="775">
        <v>1</v>
      </c>
      <c r="O88" s="775">
        <v>1</v>
      </c>
      <c r="P88" s="775">
        <v>1</v>
      </c>
      <c r="Q88" s="775">
        <v>1</v>
      </c>
      <c r="R88" s="775">
        <v>1</v>
      </c>
      <c r="T88" s="221">
        <f t="shared" si="166"/>
        <v>1</v>
      </c>
      <c r="U88" s="222">
        <f>IF(OR(AD_Trans='Assessment Details'!R53,AD_Trans='Assessment Details'!Q53),Poeng!T88,0)</f>
        <v>0</v>
      </c>
      <c r="V88" s="167"/>
      <c r="W88" s="167"/>
      <c r="X88" s="167"/>
      <c r="Y88" s="168"/>
      <c r="Z88" s="168">
        <f>VLOOKUP(B88,'Manuell filtrering og justering'!$A$7:$H$107,'Manuell filtrering og justering'!$H$1,FALSE)</f>
        <v>1</v>
      </c>
      <c r="AA88" s="169">
        <f t="shared" si="168"/>
        <v>0</v>
      </c>
      <c r="AB88" s="170">
        <f>IF($AC$5='Manuell filtrering og justering'!$J$2,Z88,(T88-AA88))</f>
        <v>1</v>
      </c>
      <c r="AD88" s="171">
        <f t="shared" ref="AD88" si="179">(Ene_Weight/Ene_Credits)*AB88</f>
        <v>5.1851851851851859E-3</v>
      </c>
      <c r="AE88" s="171">
        <f t="shared" ref="AE88" si="180">IF(AB88=0,0,(AD88/AB88)*AI88)</f>
        <v>0</v>
      </c>
      <c r="AF88" s="171">
        <f t="shared" ref="AF88" si="181">IF(AB88=0,0,(AD88/AB88)*AJ88)</f>
        <v>0</v>
      </c>
      <c r="AG88" s="171">
        <f t="shared" ref="AG88" si="182">IF(AB88=0,0,(AD88/AB88)*AK88)</f>
        <v>0</v>
      </c>
      <c r="AI88" s="172">
        <f>IF(VLOOKUP(E88,'Pre-Assessment Estimator'!$E$11:$Z$225,'Pre-Assessment Estimator'!$G$2,FALSE)&gt;AB88,AB88,VLOOKUP(E88,'Pre-Assessment Estimator'!$E$11:$Z$225,'Pre-Assessment Estimator'!$G$2,FALSE))</f>
        <v>0</v>
      </c>
      <c r="AJ88" s="172">
        <f>IF(VLOOKUP(E88,'Pre-Assessment Estimator'!$E$11:$Z$225,'Pre-Assessment Estimator'!$N$2,FALSE)&gt;AB88,AB88,VLOOKUP(E88,'Pre-Assessment Estimator'!$E$11:$Z$225,'Pre-Assessment Estimator'!$N$2,FALSE))</f>
        <v>0</v>
      </c>
      <c r="AK88" s="172">
        <f>IF(VLOOKUP(E88,'Pre-Assessment Estimator'!$E$11:$Z$225,'Pre-Assessment Estimator'!$U$2,FALSE)&gt;AB88,AB88,VLOOKUP(E88,'Pre-Assessment Estimator'!$E$11:$Z$225,'Pre-Assessment Estimator'!$U$2,FALSE))</f>
        <v>0</v>
      </c>
      <c r="AM88" s="292"/>
      <c r="AN88" s="293"/>
      <c r="AO88" s="293"/>
      <c r="AP88" s="293"/>
      <c r="AQ88" s="294"/>
      <c r="AS88" s="292"/>
      <c r="AT88" s="293"/>
      <c r="AU88" s="293"/>
      <c r="AV88" s="293"/>
      <c r="AW88" s="294"/>
      <c r="AY88" s="188"/>
      <c r="AZ88" s="189"/>
      <c r="BA88" s="189"/>
      <c r="BB88" s="189"/>
      <c r="BC88" s="190"/>
      <c r="BD88" s="182">
        <f t="shared" ref="BD88" si="183">IF(BC88=0,9,IF((AI88-CG88)&gt;=BC88,5,IF((AI88-CG88)&gt;=BB88,4,IF((AI88-CG88)&gt;=BA88,3,IF((AI88-CG88)&gt;=AZ88,2,IF((AI88-CG88)&lt;AY88,0,1))))))</f>
        <v>9</v>
      </c>
      <c r="BE88" s="164" t="str">
        <f t="shared" si="139"/>
        <v>N/A</v>
      </c>
      <c r="BF88" s="185"/>
      <c r="BG88" s="182">
        <f t="shared" ref="BG88" si="184">IF(BC88=0,9,IF((AJ88-CG88)&gt;=BC88,5,IF((AJ88-CG88)&gt;=BB88,4,IF((AJ88-CG88)&gt;=BA88,3,IF((AJ88-CG88)&gt;=AZ88,2,IF((AJ88-CG88)&lt;AY88,0,1))))))</f>
        <v>9</v>
      </c>
      <c r="BH88" s="164" t="str">
        <f t="shared" si="141"/>
        <v>N/A</v>
      </c>
      <c r="BI88" s="185"/>
      <c r="BJ88" s="182">
        <f t="shared" ref="BJ88" si="185">IF(BC88=0,9,IF((AK88-CG88)&gt;=BC88,5,IF((AK88-CG88)&gt;=BB88,4,IF((AK88-CG88)&gt;=BA88,3,IF((AK88-CG88)&gt;=AZ88,2,IF((AK88-CG88)&lt;AY88,0,1))))))</f>
        <v>9</v>
      </c>
      <c r="BK88" s="164" t="str">
        <f t="shared" si="142"/>
        <v>N/A</v>
      </c>
      <c r="BL88" s="185"/>
      <c r="BO88" s="167"/>
      <c r="BP88" s="167"/>
      <c r="BQ88" s="167" t="str">
        <f t="shared" si="157"/>
        <v/>
      </c>
      <c r="BR88" s="167">
        <f t="shared" si="55"/>
        <v>9</v>
      </c>
      <c r="BS88" s="167">
        <f t="shared" si="56"/>
        <v>9</v>
      </c>
      <c r="BT88" s="167">
        <f t="shared" si="57"/>
        <v>9</v>
      </c>
      <c r="BW88" s="167"/>
      <c r="BX88" s="167"/>
      <c r="BY88" s="167"/>
      <c r="BZ88" s="167"/>
      <c r="CA88" s="167"/>
      <c r="CB88" s="167"/>
    </row>
    <row r="89" spans="1:85" x14ac:dyDescent="0.25">
      <c r="A89" s="96">
        <v>81</v>
      </c>
      <c r="B89" s="96" t="str">
        <f t="shared" si="178"/>
        <v>Ene 06c</v>
      </c>
      <c r="C89" s="96" t="str">
        <f t="shared" si="159"/>
        <v>Ene 06</v>
      </c>
      <c r="D89" s="163" t="s">
        <v>698</v>
      </c>
      <c r="E89" s="1124" t="s">
        <v>1003</v>
      </c>
      <c r="F89" s="775">
        <v>1</v>
      </c>
      <c r="G89" s="775">
        <v>1</v>
      </c>
      <c r="H89" s="775">
        <v>1</v>
      </c>
      <c r="I89" s="775">
        <v>1</v>
      </c>
      <c r="J89" s="775">
        <v>1</v>
      </c>
      <c r="K89" s="775">
        <v>1</v>
      </c>
      <c r="L89" s="775">
        <v>1</v>
      </c>
      <c r="M89" s="775">
        <v>1</v>
      </c>
      <c r="N89" s="775">
        <v>1</v>
      </c>
      <c r="O89" s="775">
        <v>1</v>
      </c>
      <c r="P89" s="775">
        <v>1</v>
      </c>
      <c r="Q89" s="775">
        <v>1</v>
      </c>
      <c r="R89" s="775">
        <v>1</v>
      </c>
      <c r="T89" s="221">
        <f t="shared" si="166"/>
        <v>1</v>
      </c>
      <c r="U89" s="222">
        <f>IF(OR(AD_Trans='Assessment Details'!R53,AD_Trans='Assessment Details'!Q52),Poeng!T88,0)</f>
        <v>0</v>
      </c>
      <c r="V89" s="167"/>
      <c r="W89" s="167"/>
      <c r="X89" s="167"/>
      <c r="Y89" s="168"/>
      <c r="Z89" s="168">
        <f>VLOOKUP(B89,'Manuell filtrering og justering'!$A$7:$H$107,'Manuell filtrering og justering'!$H$1,FALSE)</f>
        <v>1</v>
      </c>
      <c r="AA89" s="169">
        <f t="shared" si="168"/>
        <v>0</v>
      </c>
      <c r="AB89" s="170">
        <f>IF($AC$5='Manuell filtrering og justering'!$J$2,Z89,(T89-AA89))</f>
        <v>1</v>
      </c>
      <c r="AD89" s="171">
        <f t="shared" si="136"/>
        <v>5.1851851851851859E-3</v>
      </c>
      <c r="AE89" s="171">
        <f t="shared" si="144"/>
        <v>0</v>
      </c>
      <c r="AF89" s="171">
        <f t="shared" si="145"/>
        <v>0</v>
      </c>
      <c r="AG89" s="171">
        <f t="shared" si="146"/>
        <v>0</v>
      </c>
      <c r="AI89" s="172">
        <f>IF(VLOOKUP(E89,'Pre-Assessment Estimator'!$E$11:$Z$225,'Pre-Assessment Estimator'!$G$2,FALSE)&gt;AB89,AB89,VLOOKUP(E89,'Pre-Assessment Estimator'!$E$11:$Z$225,'Pre-Assessment Estimator'!$G$2,FALSE))</f>
        <v>0</v>
      </c>
      <c r="AJ89" s="172">
        <f>IF(VLOOKUP(E89,'Pre-Assessment Estimator'!$E$11:$Z$225,'Pre-Assessment Estimator'!$N$2,FALSE)&gt;AB89,AB89,VLOOKUP(E89,'Pre-Assessment Estimator'!$E$11:$Z$225,'Pre-Assessment Estimator'!$N$2,FALSE))</f>
        <v>0</v>
      </c>
      <c r="AK89" s="172">
        <f>IF(VLOOKUP(E89,'Pre-Assessment Estimator'!$E$11:$Z$225,'Pre-Assessment Estimator'!$U$2,FALSE)&gt;AB89,AB89,VLOOKUP(E89,'Pre-Assessment Estimator'!$E$11:$Z$225,'Pre-Assessment Estimator'!$U$2,FALSE))</f>
        <v>0</v>
      </c>
      <c r="AM89" s="292"/>
      <c r="AN89" s="293"/>
      <c r="AO89" s="293"/>
      <c r="AP89" s="293"/>
      <c r="AQ89" s="294"/>
      <c r="AS89" s="292"/>
      <c r="AT89" s="293"/>
      <c r="AU89" s="293"/>
      <c r="AV89" s="293"/>
      <c r="AW89" s="294"/>
      <c r="AY89" s="188"/>
      <c r="AZ89" s="189"/>
      <c r="BA89" s="189"/>
      <c r="BB89" s="189"/>
      <c r="BC89" s="190"/>
      <c r="BD89" s="182">
        <f t="shared" si="160"/>
        <v>9</v>
      </c>
      <c r="BE89" s="164" t="str">
        <f t="shared" si="139"/>
        <v>N/A</v>
      </c>
      <c r="BF89" s="185"/>
      <c r="BG89" s="182">
        <f t="shared" si="161"/>
        <v>9</v>
      </c>
      <c r="BH89" s="164" t="str">
        <f t="shared" si="141"/>
        <v>N/A</v>
      </c>
      <c r="BI89" s="185"/>
      <c r="BJ89" s="182">
        <f t="shared" si="162"/>
        <v>9</v>
      </c>
      <c r="BK89" s="164" t="str">
        <f t="shared" si="142"/>
        <v>N/A</v>
      </c>
      <c r="BL89" s="185"/>
      <c r="BO89" s="167"/>
      <c r="BP89" s="167"/>
      <c r="BQ89" s="167" t="str">
        <f t="shared" si="157"/>
        <v/>
      </c>
      <c r="BR89" s="167">
        <f t="shared" si="55"/>
        <v>9</v>
      </c>
      <c r="BS89" s="167">
        <f t="shared" si="56"/>
        <v>9</v>
      </c>
      <c r="BT89" s="167">
        <f t="shared" si="57"/>
        <v>9</v>
      </c>
      <c r="BW89" s="167"/>
      <c r="BX89" s="167"/>
      <c r="BY89" s="167"/>
      <c r="BZ89" s="167"/>
      <c r="CA89" s="167"/>
      <c r="CB89" s="167"/>
    </row>
    <row r="90" spans="1:85" x14ac:dyDescent="0.25">
      <c r="A90" s="96">
        <v>82</v>
      </c>
      <c r="B90" s="137" t="str">
        <f>D90</f>
        <v>Ene 07</v>
      </c>
      <c r="C90" s="137" t="str">
        <f>B90</f>
        <v>Ene 07</v>
      </c>
      <c r="D90" s="834" t="s">
        <v>142</v>
      </c>
      <c r="E90" s="832" t="s">
        <v>133</v>
      </c>
      <c r="F90" s="933">
        <f>SUM(F91:F92)</f>
        <v>5</v>
      </c>
      <c r="G90" s="933">
        <f>SUM(G91:G92)</f>
        <v>0</v>
      </c>
      <c r="H90" s="933">
        <f t="shared" ref="H90:P90" si="186">SUM(H91:H92)</f>
        <v>0</v>
      </c>
      <c r="I90" s="933">
        <f t="shared" si="186"/>
        <v>0</v>
      </c>
      <c r="J90" s="933">
        <f t="shared" si="186"/>
        <v>5</v>
      </c>
      <c r="K90" s="933">
        <f t="shared" si="186"/>
        <v>0</v>
      </c>
      <c r="L90" s="933">
        <f t="shared" si="186"/>
        <v>0</v>
      </c>
      <c r="M90" s="933">
        <f t="shared" si="186"/>
        <v>0</v>
      </c>
      <c r="N90" s="933">
        <f t="shared" si="186"/>
        <v>0</v>
      </c>
      <c r="O90" s="933">
        <f t="shared" si="186"/>
        <v>0</v>
      </c>
      <c r="P90" s="933">
        <f t="shared" si="186"/>
        <v>0</v>
      </c>
      <c r="Q90" s="933">
        <f>SUM(Q91:Q92)</f>
        <v>5</v>
      </c>
      <c r="R90" s="933">
        <f>SUM(R91:R92)</f>
        <v>5</v>
      </c>
      <c r="T90" s="963">
        <f t="shared" si="166"/>
        <v>5</v>
      </c>
      <c r="U90" s="230">
        <f>U91+U92</f>
        <v>0</v>
      </c>
      <c r="V90" s="230">
        <f>V91+V92</f>
        <v>0</v>
      </c>
      <c r="W90" s="230"/>
      <c r="X90" s="230"/>
      <c r="Y90" s="230"/>
      <c r="Z90" s="958"/>
      <c r="AA90" s="963">
        <f t="shared" si="168"/>
        <v>0</v>
      </c>
      <c r="AB90" s="1067">
        <f t="shared" ref="AB90" si="187">SUM(AB91:AB92)</f>
        <v>5</v>
      </c>
      <c r="AD90" s="171">
        <f t="shared" si="136"/>
        <v>2.5925925925925929E-2</v>
      </c>
      <c r="AE90" s="921">
        <f>SUM(AE91:AE92)</f>
        <v>0</v>
      </c>
      <c r="AF90" s="921">
        <f t="shared" ref="AF90:AG90" si="188">SUM(AF91:AF92)</f>
        <v>0</v>
      </c>
      <c r="AG90" s="921">
        <f t="shared" si="188"/>
        <v>0</v>
      </c>
      <c r="AI90" s="958">
        <f t="shared" ref="AI90:AK90" si="189">SUM(AI91:AI92)</f>
        <v>0</v>
      </c>
      <c r="AJ90" s="958">
        <f t="shared" si="189"/>
        <v>0</v>
      </c>
      <c r="AK90" s="958">
        <f t="shared" si="189"/>
        <v>0</v>
      </c>
      <c r="AM90" s="292"/>
      <c r="AN90" s="293"/>
      <c r="AO90" s="293"/>
      <c r="AP90" s="293"/>
      <c r="AQ90" s="294"/>
      <c r="AS90" s="292"/>
      <c r="AT90" s="293"/>
      <c r="AU90" s="293"/>
      <c r="AV90" s="293"/>
      <c r="AW90" s="294"/>
      <c r="AY90" s="188"/>
      <c r="AZ90" s="189"/>
      <c r="BA90" s="189"/>
      <c r="BB90" s="189"/>
      <c r="BC90" s="190"/>
      <c r="BD90" s="182">
        <f t="shared" si="160"/>
        <v>9</v>
      </c>
      <c r="BE90" s="164" t="str">
        <f t="shared" si="139"/>
        <v>N/A</v>
      </c>
      <c r="BF90" s="185"/>
      <c r="BG90" s="182">
        <f t="shared" si="161"/>
        <v>9</v>
      </c>
      <c r="BH90" s="164" t="str">
        <f t="shared" si="141"/>
        <v>N/A</v>
      </c>
      <c r="BI90" s="185"/>
      <c r="BJ90" s="182">
        <f t="shared" si="162"/>
        <v>9</v>
      </c>
      <c r="BK90" s="164" t="str">
        <f t="shared" si="142"/>
        <v>N/A</v>
      </c>
      <c r="BL90" s="185"/>
      <c r="BO90" s="977"/>
      <c r="BP90" s="167"/>
      <c r="BQ90" s="167" t="str">
        <f t="shared" si="157"/>
        <v/>
      </c>
      <c r="BR90" s="167">
        <f t="shared" si="55"/>
        <v>9</v>
      </c>
      <c r="BS90" s="167">
        <f t="shared" si="56"/>
        <v>9</v>
      </c>
      <c r="BT90" s="167">
        <f t="shared" si="57"/>
        <v>9</v>
      </c>
      <c r="BW90" s="167" t="str">
        <f>D90</f>
        <v>Ene 07</v>
      </c>
      <c r="BX90" s="167" t="str">
        <f>IFERROR(VLOOKUP($E90,'Pre-Assessment Estimator'!$E$11:$AB$225,'Pre-Assessment Estimator'!AB$2,FALSE),"")</f>
        <v>N/A</v>
      </c>
      <c r="BY90" s="167">
        <f>IFERROR(VLOOKUP($E90,'Pre-Assessment Estimator'!$E$11:$AI$225,'Pre-Assessment Estimator'!AI$2,FALSE),"")</f>
        <v>0</v>
      </c>
      <c r="BZ90" s="167">
        <f>IFERROR(VLOOKUP($BX90,$E$292:$H$325,F$290,FALSE),"")</f>
        <v>1</v>
      </c>
      <c r="CA90" s="167">
        <f>IFERROR(VLOOKUP($BX90,$E$292:$H$325,G$290,FALSE),"")</f>
        <v>0</v>
      </c>
      <c r="CB90" s="167"/>
      <c r="CC90" s="96" t="str">
        <f>IFERROR(VLOOKUP($BX90,$E$292:$H$325,I$290,FALSE),"")</f>
        <v/>
      </c>
    </row>
    <row r="91" spans="1:85" x14ac:dyDescent="0.25">
      <c r="A91" s="96">
        <v>83</v>
      </c>
      <c r="B91" s="96" t="str">
        <f t="shared" ref="B91:B92" si="190">$D$90&amp;D91</f>
        <v>Ene 07a</v>
      </c>
      <c r="C91" s="96" t="str">
        <f t="shared" si="159"/>
        <v>Ene 07</v>
      </c>
      <c r="D91" s="163" t="s">
        <v>694</v>
      </c>
      <c r="E91" s="1124" t="s">
        <v>635</v>
      </c>
      <c r="F91" s="775">
        <v>1</v>
      </c>
      <c r="G91" s="1022">
        <v>0</v>
      </c>
      <c r="H91" s="1022">
        <v>0</v>
      </c>
      <c r="I91" s="1022">
        <v>0</v>
      </c>
      <c r="J91" s="775">
        <v>1</v>
      </c>
      <c r="K91" s="1022">
        <v>0</v>
      </c>
      <c r="L91" s="1022">
        <v>0</v>
      </c>
      <c r="M91" s="1022">
        <v>0</v>
      </c>
      <c r="N91" s="1022">
        <v>0</v>
      </c>
      <c r="O91" s="1022">
        <v>0</v>
      </c>
      <c r="P91" s="1022">
        <v>0</v>
      </c>
      <c r="Q91" s="775">
        <v>1</v>
      </c>
      <c r="R91" s="775">
        <v>1</v>
      </c>
      <c r="T91" s="221">
        <f t="shared" si="166"/>
        <v>1</v>
      </c>
      <c r="U91" s="230">
        <f>IF(AND('Assessment Details'!H21=1,AD_Labsize=AD_Labsize03),Poeng!T91,0)</f>
        <v>0</v>
      </c>
      <c r="V91" s="167">
        <f>IF(AND(ADBT0=ADBT8,OR('Assessment Details'!F6='Assessment Details'!U6,'Assessment Details'!F6='Assessment Details'!U7,'Assessment Details'!F6='Assessment Details'!U8,'Assessment Details'!F6='Assessment Details'!U9)),T91,0)</f>
        <v>0</v>
      </c>
      <c r="W91" s="167"/>
      <c r="X91" s="167"/>
      <c r="Y91" s="169">
        <f>IF($Y$4=$Y$6,T91,0)</f>
        <v>0</v>
      </c>
      <c r="Z91" s="168">
        <f>VLOOKUP(B91,'Manuell filtrering og justering'!$A$7:$H$107,'Manuell filtrering og justering'!$H$1,FALSE)</f>
        <v>0</v>
      </c>
      <c r="AA91" s="169">
        <f t="shared" si="168"/>
        <v>0</v>
      </c>
      <c r="AB91" s="170">
        <f>IF($AC$5='Manuell filtrering og justering'!$J$2,Z91,(T91-AA91))</f>
        <v>1</v>
      </c>
      <c r="AD91" s="171">
        <f t="shared" si="136"/>
        <v>5.1851851851851859E-3</v>
      </c>
      <c r="AE91" s="171">
        <f t="shared" si="144"/>
        <v>0</v>
      </c>
      <c r="AF91" s="171">
        <f t="shared" si="145"/>
        <v>0</v>
      </c>
      <c r="AG91" s="171">
        <f t="shared" si="146"/>
        <v>0</v>
      </c>
      <c r="AI91" s="172">
        <f>IF(VLOOKUP(E91,'Pre-Assessment Estimator'!$E$11:$Z$225,'Pre-Assessment Estimator'!$G$2,FALSE)&gt;AB91,AB91,VLOOKUP(E91,'Pre-Assessment Estimator'!$E$11:$Z$225,'Pre-Assessment Estimator'!$G$2,FALSE))</f>
        <v>0</v>
      </c>
      <c r="AJ91" s="172">
        <f>IF(VLOOKUP(E91,'Pre-Assessment Estimator'!$E$11:$Z$225,'Pre-Assessment Estimator'!$N$2,FALSE)&gt;AB91,AB91,VLOOKUP(E91,'Pre-Assessment Estimator'!$E$11:$Z$225,'Pre-Assessment Estimator'!$N$2,FALSE))</f>
        <v>0</v>
      </c>
      <c r="AK91" s="172">
        <f>IF(VLOOKUP(E91,'Pre-Assessment Estimator'!$E$11:$Z$225,'Pre-Assessment Estimator'!$U$2,FALSE)&gt;AB91,AB91,VLOOKUP(E91,'Pre-Assessment Estimator'!$E$11:$Z$225,'Pre-Assessment Estimator'!$U$2,FALSE))</f>
        <v>0</v>
      </c>
      <c r="AM91" s="1194">
        <f>IF(AB91=0,0,IF(AND($Y$4&lt;&gt;$Y$3,Y91&gt;0),0,1))</f>
        <v>1</v>
      </c>
      <c r="AN91" s="1195">
        <f>AM91</f>
        <v>1</v>
      </c>
      <c r="AO91" s="1195">
        <f>AM91</f>
        <v>1</v>
      </c>
      <c r="AP91" s="1195">
        <f>AM91</f>
        <v>1</v>
      </c>
      <c r="AQ91" s="1196">
        <f>AM91</f>
        <v>1</v>
      </c>
      <c r="AS91" s="292"/>
      <c r="AT91" s="293"/>
      <c r="AU91" s="293"/>
      <c r="AV91" s="293"/>
      <c r="AW91" s="294"/>
      <c r="AY91" s="183">
        <f>IF($AB91=0,0,IF($E$6=$H$9,AS91,AM91))</f>
        <v>1</v>
      </c>
      <c r="AZ91" s="183">
        <f>IF($AB91=0,0,IF($E$6=$H$9,AT91,AN91))</f>
        <v>1</v>
      </c>
      <c r="BA91" s="183">
        <f>IF($AB91=0,0,IF($E$6=$H$9,AU91,AO91))</f>
        <v>1</v>
      </c>
      <c r="BB91" s="183">
        <f>IF($AB91=0,0,IF($E$6=$H$9,AV91,AP91))</f>
        <v>1</v>
      </c>
      <c r="BC91" s="183">
        <f>IF($AB91=0,0,IF($E$6=$H$9,AW91,AQ91))</f>
        <v>1</v>
      </c>
      <c r="BD91" s="182">
        <f t="shared" si="160"/>
        <v>0</v>
      </c>
      <c r="BE91" s="164" t="str">
        <f t="shared" si="139"/>
        <v>Unclassified</v>
      </c>
      <c r="BF91" s="185"/>
      <c r="BG91" s="182">
        <f t="shared" si="161"/>
        <v>0</v>
      </c>
      <c r="BH91" s="164" t="str">
        <f t="shared" si="141"/>
        <v>Unclassified</v>
      </c>
      <c r="BI91" s="185"/>
      <c r="BJ91" s="182">
        <f t="shared" si="162"/>
        <v>0</v>
      </c>
      <c r="BK91" s="164" t="str">
        <f t="shared" si="142"/>
        <v>Unclassified</v>
      </c>
      <c r="BL91" s="185"/>
      <c r="BO91" s="977"/>
      <c r="BP91" s="167"/>
      <c r="BQ91" s="167" t="str">
        <f t="shared" si="157"/>
        <v/>
      </c>
      <c r="BR91" s="167">
        <f t="shared" si="55"/>
        <v>9</v>
      </c>
      <c r="BS91" s="167">
        <f t="shared" si="56"/>
        <v>9</v>
      </c>
      <c r="BT91" s="167">
        <f t="shared" si="57"/>
        <v>9</v>
      </c>
      <c r="BW91" s="167"/>
      <c r="BX91" s="167"/>
      <c r="BY91" s="167"/>
      <c r="BZ91" s="167"/>
      <c r="CA91" s="99"/>
      <c r="CB91" s="167"/>
    </row>
    <row r="92" spans="1:85" x14ac:dyDescent="0.25">
      <c r="A92" s="96">
        <v>84</v>
      </c>
      <c r="B92" s="96" t="str">
        <f t="shared" si="190"/>
        <v>Ene 07b</v>
      </c>
      <c r="C92" s="96" t="str">
        <f t="shared" si="159"/>
        <v>Ene 07</v>
      </c>
      <c r="D92" s="163" t="s">
        <v>697</v>
      </c>
      <c r="E92" s="1124" t="s">
        <v>636</v>
      </c>
      <c r="F92" s="775">
        <v>4</v>
      </c>
      <c r="G92" s="1022">
        <v>0</v>
      </c>
      <c r="H92" s="1022">
        <v>0</v>
      </c>
      <c r="I92" s="1022">
        <v>0</v>
      </c>
      <c r="J92" s="775">
        <v>4</v>
      </c>
      <c r="K92" s="1022">
        <v>0</v>
      </c>
      <c r="L92" s="1022">
        <v>0</v>
      </c>
      <c r="M92" s="1022">
        <v>0</v>
      </c>
      <c r="N92" s="1022">
        <v>0</v>
      </c>
      <c r="O92" s="1022">
        <v>0</v>
      </c>
      <c r="P92" s="1022">
        <v>0</v>
      </c>
      <c r="Q92" s="775">
        <v>4</v>
      </c>
      <c r="R92" s="775">
        <v>4</v>
      </c>
      <c r="T92" s="221">
        <f t="shared" si="166"/>
        <v>4</v>
      </c>
      <c r="U92" s="230">
        <f>IF(AD_Labsize=AD_Labsize03,Poeng!T92,IF(AD_Labsize=AD_labsize04,4,IF(AD_Labsize=AD_Labsize01,2,0)))</f>
        <v>0</v>
      </c>
      <c r="V92" s="167">
        <f>IF(AND(ADBT0=ADBT8,OR('Assessment Details'!F6='Assessment Details'!U6,'Assessment Details'!F6='Assessment Details'!U7,'Assessment Details'!F6='Assessment Details'!U8,'Assessment Details'!F6='Assessment Details'!U9)),T92,0)</f>
        <v>0</v>
      </c>
      <c r="W92" s="167"/>
      <c r="X92" s="167"/>
      <c r="Y92" s="169">
        <f>IF($Y$4=$Y$6,T92,0)</f>
        <v>0</v>
      </c>
      <c r="Z92" s="168">
        <f>VLOOKUP(B92,'Manuell filtrering og justering'!$A$7:$H$107,'Manuell filtrering og justering'!$H$1,FALSE)</f>
        <v>0</v>
      </c>
      <c r="AA92" s="169">
        <f t="shared" si="168"/>
        <v>0</v>
      </c>
      <c r="AB92" s="170">
        <f>IF($AC$5='Manuell filtrering og justering'!$J$2,Z92,(T92-AA92))</f>
        <v>4</v>
      </c>
      <c r="AD92" s="171">
        <f t="shared" si="136"/>
        <v>2.0740740740740744E-2</v>
      </c>
      <c r="AE92" s="171">
        <f t="shared" si="144"/>
        <v>0</v>
      </c>
      <c r="AF92" s="171">
        <f t="shared" si="145"/>
        <v>0</v>
      </c>
      <c r="AG92" s="171">
        <f t="shared" si="146"/>
        <v>0</v>
      </c>
      <c r="AI92" s="172">
        <f>IF(VLOOKUP(E92,'Pre-Assessment Estimator'!$E$11:$Z$225,'Pre-Assessment Estimator'!$G$2,FALSE)&gt;AB92,AB92,VLOOKUP(E92,'Pre-Assessment Estimator'!$E$11:$Z$225,'Pre-Assessment Estimator'!$G$2,FALSE))</f>
        <v>0</v>
      </c>
      <c r="AJ92" s="172">
        <f>IF(VLOOKUP(E92,'Pre-Assessment Estimator'!$E$11:$Z$225,'Pre-Assessment Estimator'!$N$2,FALSE)&gt;AB92,AB92,VLOOKUP(E92,'Pre-Assessment Estimator'!$E$11:$Z$225,'Pre-Assessment Estimator'!$N$2,FALSE))</f>
        <v>0</v>
      </c>
      <c r="AK92" s="172">
        <f>IF(VLOOKUP(E92,'Pre-Assessment Estimator'!$E$11:$Z$225,'Pre-Assessment Estimator'!$U$2,FALSE)&gt;AB92,AB92,VLOOKUP(E92,'Pre-Assessment Estimator'!$E$11:$Z$225,'Pre-Assessment Estimator'!$U$2,FALSE))</f>
        <v>0</v>
      </c>
      <c r="AM92" s="292"/>
      <c r="AN92" s="293"/>
      <c r="AO92" s="293"/>
      <c r="AP92" s="293"/>
      <c r="AQ92" s="294"/>
      <c r="AS92" s="292"/>
      <c r="AT92" s="293"/>
      <c r="AU92" s="293"/>
      <c r="AV92" s="293"/>
      <c r="AW92" s="294"/>
      <c r="AY92" s="188"/>
      <c r="AZ92" s="189"/>
      <c r="BA92" s="189"/>
      <c r="BB92" s="189"/>
      <c r="BC92" s="190"/>
      <c r="BD92" s="182">
        <f t="shared" si="160"/>
        <v>9</v>
      </c>
      <c r="BE92" s="164" t="str">
        <f t="shared" si="139"/>
        <v>N/A</v>
      </c>
      <c r="BF92" s="185"/>
      <c r="BG92" s="182">
        <f t="shared" si="161"/>
        <v>9</v>
      </c>
      <c r="BH92" s="164" t="str">
        <f t="shared" si="141"/>
        <v>N/A</v>
      </c>
      <c r="BI92" s="185"/>
      <c r="BJ92" s="182">
        <f t="shared" si="162"/>
        <v>9</v>
      </c>
      <c r="BK92" s="164" t="str">
        <f t="shared" si="142"/>
        <v>N/A</v>
      </c>
      <c r="BL92" s="185"/>
      <c r="BO92" s="977"/>
      <c r="BP92" s="167"/>
      <c r="BQ92" s="167" t="str">
        <f t="shared" si="157"/>
        <v/>
      </c>
      <c r="BR92" s="167">
        <f t="shared" si="55"/>
        <v>9</v>
      </c>
      <c r="BS92" s="167">
        <f t="shared" si="56"/>
        <v>9</v>
      </c>
      <c r="BT92" s="167">
        <f t="shared" si="57"/>
        <v>9</v>
      </c>
      <c r="BW92" s="167"/>
      <c r="BX92" s="167"/>
      <c r="BY92" s="167"/>
      <c r="BZ92" s="167"/>
      <c r="CA92" s="99"/>
      <c r="CB92" s="167"/>
    </row>
    <row r="93" spans="1:85" x14ac:dyDescent="0.25">
      <c r="A93" s="96">
        <v>85</v>
      </c>
      <c r="B93" s="137" t="str">
        <f>D93</f>
        <v>Ene 08</v>
      </c>
      <c r="C93" s="137" t="str">
        <f>B93</f>
        <v>Ene 08</v>
      </c>
      <c r="D93" s="834" t="s">
        <v>143</v>
      </c>
      <c r="E93" s="832" t="s">
        <v>134</v>
      </c>
      <c r="F93" s="933">
        <f>SUM(F94)</f>
        <v>2</v>
      </c>
      <c r="G93" s="933">
        <f t="shared" ref="G93:R93" si="191">SUM(G94)</f>
        <v>2</v>
      </c>
      <c r="H93" s="933">
        <f t="shared" si="191"/>
        <v>2</v>
      </c>
      <c r="I93" s="933">
        <f t="shared" si="191"/>
        <v>2</v>
      </c>
      <c r="J93" s="933">
        <f t="shared" si="191"/>
        <v>2</v>
      </c>
      <c r="K93" s="933">
        <f t="shared" si="191"/>
        <v>2</v>
      </c>
      <c r="L93" s="933">
        <f t="shared" si="191"/>
        <v>2</v>
      </c>
      <c r="M93" s="933">
        <f t="shared" si="191"/>
        <v>2</v>
      </c>
      <c r="N93" s="933">
        <f t="shared" si="191"/>
        <v>2</v>
      </c>
      <c r="O93" s="933">
        <f t="shared" si="191"/>
        <v>2</v>
      </c>
      <c r="P93" s="933">
        <f t="shared" si="191"/>
        <v>2</v>
      </c>
      <c r="Q93" s="933">
        <f t="shared" si="191"/>
        <v>2</v>
      </c>
      <c r="R93" s="933">
        <f t="shared" si="191"/>
        <v>2</v>
      </c>
      <c r="T93" s="963">
        <f t="shared" si="166"/>
        <v>2</v>
      </c>
      <c r="U93" s="222">
        <f>U94</f>
        <v>0</v>
      </c>
      <c r="V93" s="230"/>
      <c r="W93" s="230"/>
      <c r="X93" s="230">
        <f>'Manuell filtrering og justering'!E36</f>
        <v>0</v>
      </c>
      <c r="Y93" s="230"/>
      <c r="Z93" s="958">
        <f t="shared" ref="Z93" si="192">SUM(Z94)</f>
        <v>0</v>
      </c>
      <c r="AA93" s="963">
        <f t="shared" si="168"/>
        <v>0</v>
      </c>
      <c r="AB93" s="1067">
        <f>SUM(AB94)</f>
        <v>2</v>
      </c>
      <c r="AD93" s="171">
        <f t="shared" si="136"/>
        <v>1.0370370370370372E-2</v>
      </c>
      <c r="AE93" s="921">
        <f>SUM(AE94)</f>
        <v>0</v>
      </c>
      <c r="AF93" s="921">
        <f t="shared" ref="AF93:AG93" si="193">SUM(AF94)</f>
        <v>0</v>
      </c>
      <c r="AG93" s="921">
        <f t="shared" si="193"/>
        <v>0</v>
      </c>
      <c r="AI93" s="958">
        <f t="shared" ref="AI93" si="194">SUM(AI94)</f>
        <v>0</v>
      </c>
      <c r="AJ93" s="958">
        <f t="shared" ref="AJ93" si="195">SUM(AJ94)</f>
        <v>0</v>
      </c>
      <c r="AK93" s="958">
        <f t="shared" ref="AK93" si="196">SUM(AK94)</f>
        <v>0</v>
      </c>
      <c r="AL93" s="96" t="s">
        <v>427</v>
      </c>
      <c r="AM93" s="292"/>
      <c r="AN93" s="293"/>
      <c r="AO93" s="293"/>
      <c r="AP93" s="293"/>
      <c r="AQ93" s="294"/>
      <c r="AS93" s="292"/>
      <c r="AT93" s="293"/>
      <c r="AU93" s="293"/>
      <c r="AV93" s="293"/>
      <c r="AW93" s="294"/>
      <c r="AY93" s="188"/>
      <c r="AZ93" s="189"/>
      <c r="BA93" s="189"/>
      <c r="BB93" s="189"/>
      <c r="BC93" s="190"/>
      <c r="BD93" s="182">
        <f t="shared" si="160"/>
        <v>9</v>
      </c>
      <c r="BE93" s="164" t="str">
        <f t="shared" si="139"/>
        <v>N/A</v>
      </c>
      <c r="BF93" s="185"/>
      <c r="BG93" s="182">
        <f t="shared" si="161"/>
        <v>9</v>
      </c>
      <c r="BH93" s="164" t="str">
        <f t="shared" si="141"/>
        <v>N/A</v>
      </c>
      <c r="BI93" s="185"/>
      <c r="BJ93" s="182">
        <f t="shared" si="162"/>
        <v>9</v>
      </c>
      <c r="BK93" s="164" t="str">
        <f t="shared" si="142"/>
        <v>N/A</v>
      </c>
      <c r="BL93" s="185"/>
      <c r="BO93" s="167"/>
      <c r="BP93" s="167"/>
      <c r="BQ93" s="167" t="str">
        <f t="shared" si="157"/>
        <v/>
      </c>
      <c r="BR93" s="167">
        <f t="shared" si="55"/>
        <v>9</v>
      </c>
      <c r="BS93" s="167">
        <f t="shared" si="56"/>
        <v>9</v>
      </c>
      <c r="BT93" s="167">
        <f t="shared" si="57"/>
        <v>9</v>
      </c>
      <c r="BW93" s="167" t="str">
        <f>D93</f>
        <v>Ene 08</v>
      </c>
      <c r="BX93" s="167" t="str">
        <f>IFERROR(VLOOKUP($E93,'Pre-Assessment Estimator'!$E$11:$AB$225,'Pre-Assessment Estimator'!AB$2,FALSE),"")</f>
        <v>No</v>
      </c>
      <c r="BY93" s="230" t="str">
        <f>IFERROR(VLOOKUP($E93,'Pre-Assessment Estimator'!$E$11:$AI$225,'Pre-Assessment Estimator'!AI$2,FALSE),"")</f>
        <v>Ja</v>
      </c>
      <c r="BZ93" s="167">
        <f>IFERROR(VLOOKUP($BX93,$E$292:$H$325,F$290,FALSE),"")</f>
        <v>1</v>
      </c>
      <c r="CA93" s="680" t="s">
        <v>432</v>
      </c>
      <c r="CB93" s="167"/>
      <c r="CC93" s="96" t="str">
        <f>IFERROR(VLOOKUP($BX93,$E$292:$H$325,I$290,FALSE),"")</f>
        <v/>
      </c>
      <c r="CD93" s="96" t="s">
        <v>438</v>
      </c>
      <c r="CE93" s="167">
        <f t="shared" ref="CE93:CE95" si="197">VLOOKUP(CA93,$CA$4:$CB$5,2,FALSE)</f>
        <v>1</v>
      </c>
      <c r="CG93" s="681">
        <f>IF($BX$5=ais_nei,CE93,IF(AND(CA93=$CA$4,BX93=$CC$4),0,BZ93))</f>
        <v>1</v>
      </c>
    </row>
    <row r="94" spans="1:85" x14ac:dyDescent="0.25">
      <c r="A94" s="96">
        <v>86</v>
      </c>
      <c r="B94" s="96" t="str">
        <f>$D$93&amp;D94</f>
        <v>Ene 08a</v>
      </c>
      <c r="C94" s="96" t="str">
        <f t="shared" si="159"/>
        <v>Ene 08</v>
      </c>
      <c r="D94" s="166" t="s">
        <v>694</v>
      </c>
      <c r="E94" s="1124" t="s">
        <v>637</v>
      </c>
      <c r="F94" s="775">
        <v>2</v>
      </c>
      <c r="G94" s="775">
        <v>2</v>
      </c>
      <c r="H94" s="775">
        <v>2</v>
      </c>
      <c r="I94" s="775">
        <v>2</v>
      </c>
      <c r="J94" s="775">
        <v>2</v>
      </c>
      <c r="K94" s="775">
        <v>2</v>
      </c>
      <c r="L94" s="775">
        <v>2</v>
      </c>
      <c r="M94" s="775">
        <v>2</v>
      </c>
      <c r="N94" s="775">
        <v>2</v>
      </c>
      <c r="O94" s="775">
        <v>2</v>
      </c>
      <c r="P94" s="775">
        <v>2</v>
      </c>
      <c r="Q94" s="775">
        <v>2</v>
      </c>
      <c r="R94" s="775">
        <v>2</v>
      </c>
      <c r="T94" s="221">
        <f t="shared" si="166"/>
        <v>2</v>
      </c>
      <c r="U94" s="222">
        <f>IF(AD_Energyload=AD_no,Poeng!T94,0)</f>
        <v>0</v>
      </c>
      <c r="V94" s="167"/>
      <c r="W94" s="167"/>
      <c r="X94" s="167"/>
      <c r="Y94" s="169">
        <f>IF($Y$4=$Y$6,T94,0)</f>
        <v>0</v>
      </c>
      <c r="Z94" s="168">
        <f>VLOOKUP(B94,'Manuell filtrering og justering'!$A$7:$H$107,'Manuell filtrering og justering'!$H$1,FALSE)</f>
        <v>0</v>
      </c>
      <c r="AA94" s="169">
        <f t="shared" si="168"/>
        <v>0</v>
      </c>
      <c r="AB94" s="170">
        <f>IF($AC$5='Manuell filtrering og justering'!$J$2,Z94,(T94-AA94))</f>
        <v>2</v>
      </c>
      <c r="AD94" s="171">
        <f t="shared" si="136"/>
        <v>1.0370370370370372E-2</v>
      </c>
      <c r="AE94" s="171">
        <f t="shared" si="144"/>
        <v>0</v>
      </c>
      <c r="AF94" s="171">
        <f t="shared" si="145"/>
        <v>0</v>
      </c>
      <c r="AG94" s="171">
        <f t="shared" si="146"/>
        <v>0</v>
      </c>
      <c r="AI94" s="172">
        <f>IF(VLOOKUP(E94,'Pre-Assessment Estimator'!$E$11:$Z$225,'Pre-Assessment Estimator'!$G$2,FALSE)&gt;AB94,AB94,VLOOKUP(E94,'Pre-Assessment Estimator'!$E$11:$Z$225,'Pre-Assessment Estimator'!$G$2,FALSE))</f>
        <v>0</v>
      </c>
      <c r="AJ94" s="172">
        <f>IF(VLOOKUP(E94,'Pre-Assessment Estimator'!$E$11:$Z$225,'Pre-Assessment Estimator'!$N$2,FALSE)&gt;AB94,AB94,VLOOKUP(E94,'Pre-Assessment Estimator'!$E$11:$Z$225,'Pre-Assessment Estimator'!$N$2,FALSE))</f>
        <v>0</v>
      </c>
      <c r="AK94" s="172">
        <f>IF(VLOOKUP(E94,'Pre-Assessment Estimator'!$E$11:$Z$225,'Pre-Assessment Estimator'!$U$2,FALSE)&gt;AB94,AB94,VLOOKUP(E94,'Pre-Assessment Estimator'!$E$11:$Z$225,'Pre-Assessment Estimator'!$U$2,FALSE))</f>
        <v>0</v>
      </c>
      <c r="AM94" s="292"/>
      <c r="AN94" s="293"/>
      <c r="AO94" s="293"/>
      <c r="AP94" s="293"/>
      <c r="AQ94" s="294"/>
      <c r="AS94" s="292"/>
      <c r="AT94" s="293"/>
      <c r="AU94" s="293"/>
      <c r="AV94" s="293"/>
      <c r="AW94" s="294"/>
      <c r="AY94" s="188"/>
      <c r="AZ94" s="189"/>
      <c r="BA94" s="189"/>
      <c r="BB94" s="189"/>
      <c r="BC94" s="190"/>
      <c r="BD94" s="182">
        <f t="shared" si="160"/>
        <v>9</v>
      </c>
      <c r="BE94" s="164" t="str">
        <f t="shared" si="139"/>
        <v>N/A</v>
      </c>
      <c r="BF94" s="185"/>
      <c r="BG94" s="182">
        <f t="shared" si="161"/>
        <v>9</v>
      </c>
      <c r="BH94" s="164" t="str">
        <f t="shared" si="141"/>
        <v>N/A</v>
      </c>
      <c r="BI94" s="185"/>
      <c r="BJ94" s="182">
        <f t="shared" si="162"/>
        <v>9</v>
      </c>
      <c r="BK94" s="164" t="str">
        <f t="shared" si="142"/>
        <v>N/A</v>
      </c>
      <c r="BL94" s="185"/>
      <c r="BO94" s="167"/>
      <c r="BP94" s="167"/>
      <c r="BQ94" s="167" t="str">
        <f t="shared" si="157"/>
        <v/>
      </c>
      <c r="BR94" s="167">
        <f t="shared" si="55"/>
        <v>9</v>
      </c>
      <c r="BS94" s="167">
        <f t="shared" si="56"/>
        <v>9</v>
      </c>
      <c r="BT94" s="167">
        <f t="shared" si="57"/>
        <v>9</v>
      </c>
      <c r="BW94" s="167"/>
      <c r="BX94" s="167"/>
      <c r="BY94" s="230"/>
      <c r="BZ94" s="167"/>
      <c r="CA94" s="680"/>
      <c r="CB94" s="167"/>
      <c r="CE94" s="167"/>
      <c r="CG94" s="681"/>
    </row>
    <row r="95" spans="1:85" x14ac:dyDescent="0.25">
      <c r="A95" s="96">
        <v>87</v>
      </c>
      <c r="D95" s="701" t="s">
        <v>144</v>
      </c>
      <c r="E95" s="700"/>
      <c r="F95" s="934"/>
      <c r="G95" s="934"/>
      <c r="H95" s="934"/>
      <c r="I95" s="934"/>
      <c r="J95" s="934"/>
      <c r="K95" s="934"/>
      <c r="L95" s="934"/>
      <c r="M95" s="934"/>
      <c r="N95" s="934"/>
      <c r="O95" s="934"/>
      <c r="P95" s="934"/>
      <c r="Q95" s="934"/>
      <c r="R95" s="934"/>
      <c r="T95" s="956"/>
      <c r="U95" s="701"/>
      <c r="V95" s="700"/>
      <c r="W95" s="700"/>
      <c r="X95" s="700"/>
      <c r="Y95" s="955"/>
      <c r="Z95" s="955"/>
      <c r="AA95" s="956"/>
      <c r="AB95" s="957"/>
      <c r="AD95" s="171">
        <f t="shared" si="136"/>
        <v>0</v>
      </c>
      <c r="AE95" s="960">
        <f t="shared" si="144"/>
        <v>0</v>
      </c>
      <c r="AF95" s="960">
        <f t="shared" si="145"/>
        <v>0</v>
      </c>
      <c r="AG95" s="960">
        <f t="shared" si="146"/>
        <v>0</v>
      </c>
      <c r="AI95" s="720"/>
      <c r="AJ95" s="720"/>
      <c r="AK95" s="720"/>
      <c r="AL95" s="96" t="s">
        <v>427</v>
      </c>
      <c r="AM95" s="292"/>
      <c r="AN95" s="293"/>
      <c r="AO95" s="293"/>
      <c r="AP95" s="293"/>
      <c r="AQ95" s="294"/>
      <c r="AR95" s="139"/>
      <c r="AS95" s="292"/>
      <c r="AT95" s="293"/>
      <c r="AU95" s="293"/>
      <c r="AV95" s="293"/>
      <c r="AW95" s="294"/>
      <c r="AY95" s="188"/>
      <c r="AZ95" s="189"/>
      <c r="BA95" s="189"/>
      <c r="BB95" s="189"/>
      <c r="BC95" s="190"/>
      <c r="BD95" s="182">
        <f t="shared" si="160"/>
        <v>9</v>
      </c>
      <c r="BE95" s="164" t="str">
        <f t="shared" si="139"/>
        <v>N/A</v>
      </c>
      <c r="BF95" s="185"/>
      <c r="BG95" s="182">
        <f t="shared" si="161"/>
        <v>9</v>
      </c>
      <c r="BH95" s="164" t="str">
        <f t="shared" si="141"/>
        <v>N/A</v>
      </c>
      <c r="BI95" s="185"/>
      <c r="BJ95" s="182">
        <f t="shared" si="162"/>
        <v>9</v>
      </c>
      <c r="BK95" s="164" t="str">
        <f t="shared" si="142"/>
        <v>N/A</v>
      </c>
      <c r="BL95" s="185"/>
      <c r="BO95" s="167"/>
      <c r="BP95" s="167"/>
      <c r="BQ95" s="167" t="str">
        <f t="shared" si="157"/>
        <v/>
      </c>
      <c r="BR95" s="167">
        <f t="shared" ref="BR95:BR158" si="198">IF(BQ95="",9,(IF(AI95&gt;=BQ95,5,0)))</f>
        <v>9</v>
      </c>
      <c r="BS95" s="167">
        <f t="shared" ref="BS95:BS158" si="199">IF(BQ95="",9,(IF(AJ95&gt;=BQ95,5,0)))</f>
        <v>9</v>
      </c>
      <c r="BT95" s="167">
        <f t="shared" ref="BT95:BT158" si="200">IF(BQ95="",9,(IF(AK95&gt;=BQ95,5,0)))</f>
        <v>9</v>
      </c>
      <c r="BW95" s="167" t="str">
        <f>D95</f>
        <v>Ene 09</v>
      </c>
      <c r="BX95" s="167" t="str">
        <f>IFERROR(VLOOKUP($E95,'Pre-Assessment Estimator'!$E$11:$AB$225,'Pre-Assessment Estimator'!AB$2,FALSE),"")</f>
        <v/>
      </c>
      <c r="BY95" s="230" t="str">
        <f>IFERROR(VLOOKUP($E95,'Pre-Assessment Estimator'!$E$11:$AI$225,'Pre-Assessment Estimator'!AI$2,FALSE),"")</f>
        <v/>
      </c>
      <c r="BZ95" s="167" t="str">
        <f t="shared" ref="BZ95:BZ100" si="201">IFERROR(VLOOKUP($BX95,$E$292:$H$325,F$290,FALSE),"")</f>
        <v/>
      </c>
      <c r="CA95" s="680" t="s">
        <v>432</v>
      </c>
      <c r="CB95" s="167"/>
      <c r="CC95" s="96" t="str">
        <f t="shared" ref="CC95:CC100" si="202">IFERROR(VLOOKUP($BX95,$E$292:$H$325,I$290,FALSE),"")</f>
        <v/>
      </c>
      <c r="CD95" s="681" t="s">
        <v>406</v>
      </c>
      <c r="CE95" s="167">
        <f t="shared" si="197"/>
        <v>1</v>
      </c>
      <c r="CG95" s="681">
        <f>IF($BX$5=ais_nei,CE95,IF(CD95=$BY$5,IF(AND(CA95=$CA$4,BX95=$CC$4),0,BZ95),CE95))</f>
        <v>1</v>
      </c>
    </row>
    <row r="96" spans="1:85" ht="15.75" thickBot="1" x14ac:dyDescent="0.3">
      <c r="A96" s="96">
        <v>88</v>
      </c>
      <c r="D96" s="701" t="s">
        <v>145</v>
      </c>
      <c r="E96" s="700"/>
      <c r="F96" s="934"/>
      <c r="G96" s="934"/>
      <c r="H96" s="934"/>
      <c r="I96" s="934"/>
      <c r="J96" s="934"/>
      <c r="K96" s="934"/>
      <c r="L96" s="934"/>
      <c r="M96" s="934"/>
      <c r="N96" s="934"/>
      <c r="O96" s="934"/>
      <c r="P96" s="934"/>
      <c r="Q96" s="934"/>
      <c r="R96" s="934"/>
      <c r="T96" s="956"/>
      <c r="U96" s="701"/>
      <c r="V96" s="700"/>
      <c r="W96" s="700"/>
      <c r="X96" s="700"/>
      <c r="Y96" s="955"/>
      <c r="Z96" s="955"/>
      <c r="AA96" s="956"/>
      <c r="AB96" s="957"/>
      <c r="AD96" s="171">
        <f t="shared" si="136"/>
        <v>0</v>
      </c>
      <c r="AE96" s="960">
        <f t="shared" si="144"/>
        <v>0</v>
      </c>
      <c r="AF96" s="960">
        <f t="shared" si="145"/>
        <v>0</v>
      </c>
      <c r="AG96" s="960">
        <f t="shared" si="146"/>
        <v>0</v>
      </c>
      <c r="AI96" s="720"/>
      <c r="AJ96" s="720"/>
      <c r="AK96" s="720"/>
      <c r="AM96" s="301"/>
      <c r="AN96" s="302"/>
      <c r="AO96" s="302"/>
      <c r="AP96" s="302"/>
      <c r="AQ96" s="303"/>
      <c r="AR96" s="139"/>
      <c r="AS96" s="301"/>
      <c r="AT96" s="302"/>
      <c r="AU96" s="302"/>
      <c r="AV96" s="302"/>
      <c r="AW96" s="303"/>
      <c r="AY96" s="198"/>
      <c r="AZ96" s="224"/>
      <c r="BA96" s="224"/>
      <c r="BB96" s="224"/>
      <c r="BC96" s="225"/>
      <c r="BD96" s="198">
        <f t="shared" si="60"/>
        <v>9</v>
      </c>
      <c r="BE96" s="164" t="str">
        <f t="shared" si="139"/>
        <v>N/A</v>
      </c>
      <c r="BF96" s="200"/>
      <c r="BG96" s="198">
        <f t="shared" si="140"/>
        <v>9</v>
      </c>
      <c r="BH96" s="164" t="str">
        <f t="shared" si="141"/>
        <v>N/A</v>
      </c>
      <c r="BI96" s="200"/>
      <c r="BJ96" s="198">
        <f t="shared" si="28"/>
        <v>9</v>
      </c>
      <c r="BK96" s="164" t="str">
        <f t="shared" si="142"/>
        <v>N/A</v>
      </c>
      <c r="BL96" s="200"/>
      <c r="BO96" s="167"/>
      <c r="BP96" s="167"/>
      <c r="BQ96" s="167" t="str">
        <f t="shared" si="157"/>
        <v/>
      </c>
      <c r="BR96" s="167">
        <f t="shared" si="198"/>
        <v>9</v>
      </c>
      <c r="BS96" s="167">
        <f t="shared" si="199"/>
        <v>9</v>
      </c>
      <c r="BT96" s="167">
        <f t="shared" si="200"/>
        <v>9</v>
      </c>
      <c r="BW96" s="167" t="str">
        <f>D96</f>
        <v>Ene 23</v>
      </c>
      <c r="BX96" s="167" t="str">
        <f>IFERROR(VLOOKUP($E96,'Pre-Assessment Estimator'!$E$11:$AB$225,'Pre-Assessment Estimator'!AB$2,FALSE),"")</f>
        <v/>
      </c>
      <c r="BY96" s="167" t="str">
        <f>IFERROR(VLOOKUP($E96,'Pre-Assessment Estimator'!$E$11:$AI$225,'Pre-Assessment Estimator'!AI$2,FALSE),"")</f>
        <v/>
      </c>
      <c r="BZ96" s="167" t="str">
        <f t="shared" si="201"/>
        <v/>
      </c>
      <c r="CA96" s="167" t="str">
        <f>IFERROR(VLOOKUP($BX96,$E$292:$H$325,G$290,FALSE),"")</f>
        <v/>
      </c>
      <c r="CB96" s="167"/>
      <c r="CC96" s="96" t="str">
        <f t="shared" si="202"/>
        <v/>
      </c>
    </row>
    <row r="97" spans="1:81" ht="15.75" thickBot="1" x14ac:dyDescent="0.3">
      <c r="A97" s="96">
        <v>89</v>
      </c>
      <c r="B97" s="96" t="s">
        <v>885</v>
      </c>
      <c r="D97" s="201"/>
      <c r="E97" s="202" t="s">
        <v>215</v>
      </c>
      <c r="F97" s="773">
        <f>F69+F75+F79+F83+F86+F90+F93</f>
        <v>27</v>
      </c>
      <c r="G97" s="773">
        <f t="shared" ref="G97:R97" si="203">G69+G75+G79+G83+G86+G90+G93</f>
        <v>22</v>
      </c>
      <c r="H97" s="773">
        <f t="shared" si="203"/>
        <v>20</v>
      </c>
      <c r="I97" s="773">
        <f t="shared" si="203"/>
        <v>22</v>
      </c>
      <c r="J97" s="773">
        <f t="shared" si="203"/>
        <v>27</v>
      </c>
      <c r="K97" s="773">
        <f t="shared" si="203"/>
        <v>22</v>
      </c>
      <c r="L97" s="773">
        <f t="shared" si="203"/>
        <v>22</v>
      </c>
      <c r="M97" s="773">
        <f t="shared" si="203"/>
        <v>22</v>
      </c>
      <c r="N97" s="773">
        <f t="shared" si="203"/>
        <v>22</v>
      </c>
      <c r="O97" s="773">
        <f t="shared" si="203"/>
        <v>22</v>
      </c>
      <c r="P97" s="773">
        <f t="shared" si="203"/>
        <v>22</v>
      </c>
      <c r="Q97" s="773">
        <f t="shared" ref="Q97" si="204">Q69+Q75+Q79+Q83+Q86+Q90+Q93</f>
        <v>27</v>
      </c>
      <c r="R97" s="773">
        <f t="shared" si="203"/>
        <v>27</v>
      </c>
      <c r="T97" s="226">
        <f>HLOOKUP($E$6,$F$9:$R$231,$A97,FALSE)</f>
        <v>27</v>
      </c>
      <c r="U97" s="204"/>
      <c r="V97" s="205"/>
      <c r="W97" s="205"/>
      <c r="X97" s="205"/>
      <c r="Y97" s="206"/>
      <c r="Z97" s="206"/>
      <c r="AA97" s="773">
        <f t="shared" ref="AA97:AG97" si="205">AA69+AA75+AA79+AA83+AA86+AA90+AA93</f>
        <v>0</v>
      </c>
      <c r="AB97" s="773">
        <f t="shared" si="205"/>
        <v>27</v>
      </c>
      <c r="AD97" s="208">
        <f t="shared" si="205"/>
        <v>0.14000000000000001</v>
      </c>
      <c r="AE97" s="208">
        <f t="shared" si="205"/>
        <v>0</v>
      </c>
      <c r="AF97" s="208">
        <f t="shared" si="205"/>
        <v>0</v>
      </c>
      <c r="AG97" s="208">
        <f t="shared" si="205"/>
        <v>0</v>
      </c>
      <c r="AI97" s="78">
        <f t="shared" ref="AI97:AK97" si="206">AI69+AI75+AI79+AI83+AI86+AI90+AI93</f>
        <v>0</v>
      </c>
      <c r="AJ97" s="78">
        <f t="shared" si="206"/>
        <v>0</v>
      </c>
      <c r="AK97" s="78">
        <f t="shared" si="206"/>
        <v>0</v>
      </c>
      <c r="AM97" s="139"/>
      <c r="AN97" s="139"/>
      <c r="AO97" s="139"/>
      <c r="AP97" s="139"/>
      <c r="AQ97" s="139"/>
      <c r="AR97" s="139"/>
      <c r="AS97" s="139"/>
      <c r="AT97" s="139"/>
      <c r="AU97" s="139"/>
      <c r="AV97" s="139"/>
      <c r="AW97" s="139"/>
      <c r="AY97" s="97"/>
      <c r="AZ97" s="209"/>
      <c r="BA97" s="97"/>
      <c r="BB97" s="97"/>
      <c r="BC97" s="97"/>
      <c r="BW97" s="202"/>
      <c r="BX97" s="202" t="str">
        <f>IFERROR(VLOOKUP($E97,'Pre-Assessment Estimator'!$E$11:$AB$225,'Pre-Assessment Estimator'!AB$2,FALSE),"")</f>
        <v/>
      </c>
      <c r="BY97" s="202" t="str">
        <f>IFERROR(VLOOKUP($E97,'Pre-Assessment Estimator'!$E$11:$AI$225,'Pre-Assessment Estimator'!AI$2,FALSE),"")</f>
        <v/>
      </c>
      <c r="BZ97" s="202" t="str">
        <f t="shared" si="201"/>
        <v/>
      </c>
      <c r="CA97" s="202" t="str">
        <f>IFERROR(VLOOKUP($BX97,$E$292:$H$325,G$290,FALSE),"")</f>
        <v/>
      </c>
      <c r="CB97" s="202"/>
      <c r="CC97" s="96" t="str">
        <f t="shared" si="202"/>
        <v/>
      </c>
    </row>
    <row r="98" spans="1:81" ht="15.75" thickBot="1" x14ac:dyDescent="0.3">
      <c r="A98" s="96">
        <v>90</v>
      </c>
      <c r="AI98" s="3"/>
      <c r="AJ98" s="3"/>
      <c r="AK98" s="3"/>
      <c r="AM98" s="139"/>
      <c r="AN98" s="139"/>
      <c r="AO98" s="139"/>
      <c r="AP98" s="139"/>
      <c r="AQ98" s="139"/>
      <c r="AR98" s="139"/>
      <c r="AS98" s="139"/>
      <c r="AT98" s="139"/>
      <c r="AU98" s="139"/>
      <c r="AV98" s="139"/>
      <c r="AW98" s="139"/>
      <c r="AY98" s="97"/>
      <c r="AZ98" s="97"/>
      <c r="BA98" s="97"/>
      <c r="BB98" s="97"/>
      <c r="BC98" s="97"/>
      <c r="BX98" s="96" t="str">
        <f>IFERROR(VLOOKUP($E98,'Pre-Assessment Estimator'!$E$11:$AB$225,'Pre-Assessment Estimator'!AB$2,FALSE),"")</f>
        <v/>
      </c>
      <c r="BY98" s="96" t="str">
        <f>IFERROR(VLOOKUP($E98,'Pre-Assessment Estimator'!$E$11:$AI$225,'Pre-Assessment Estimator'!AI$2,FALSE),"")</f>
        <v/>
      </c>
      <c r="BZ98" s="96" t="str">
        <f t="shared" si="201"/>
        <v/>
      </c>
      <c r="CA98" s="96" t="str">
        <f>IFERROR(VLOOKUP($BX98,$E$292:$H$325,G$290,FALSE),"")</f>
        <v/>
      </c>
      <c r="CC98" s="96" t="str">
        <f t="shared" si="202"/>
        <v/>
      </c>
    </row>
    <row r="99" spans="1:81" ht="60.75" thickBot="1" x14ac:dyDescent="0.3">
      <c r="A99" s="96">
        <v>91</v>
      </c>
      <c r="D99" s="145"/>
      <c r="E99" s="146" t="s">
        <v>68</v>
      </c>
      <c r="F99" s="1243" t="str">
        <f>$F$9</f>
        <v>Office</v>
      </c>
      <c r="G99" s="1243" t="str">
        <f>$G$9</f>
        <v>Retail</v>
      </c>
      <c r="H99" s="1247" t="str">
        <f>$H$9</f>
        <v>Residential</v>
      </c>
      <c r="I99" s="1243" t="str">
        <f>$I$9</f>
        <v>Industrial</v>
      </c>
      <c r="J99" s="1245" t="str">
        <f>$J$9</f>
        <v>Healthcare</v>
      </c>
      <c r="K99" s="1245" t="str">
        <f>$K$9</f>
        <v>Prison</v>
      </c>
      <c r="L99" s="1245" t="str">
        <f>$L$9</f>
        <v>Law Court</v>
      </c>
      <c r="M99" s="1249" t="str">
        <f>$M$9</f>
        <v>Residential institution (long term stay)</v>
      </c>
      <c r="N99" s="918" t="str">
        <f>$N$9</f>
        <v>Residential institution (short term stay)</v>
      </c>
      <c r="O99" s="918" t="str">
        <f>$O$9</f>
        <v>Non-residential institution</v>
      </c>
      <c r="P99" s="918" t="str">
        <f>$P$9</f>
        <v>Assembly and leisure</v>
      </c>
      <c r="Q99" s="1245" t="str">
        <f>$Q$9</f>
        <v>Education</v>
      </c>
      <c r="R99" s="857" t="str">
        <f>$R$9</f>
        <v>Other</v>
      </c>
      <c r="T99" s="138" t="str">
        <f>$E$6</f>
        <v>Office</v>
      </c>
      <c r="U99" s="210"/>
      <c r="V99" s="211"/>
      <c r="W99" s="211"/>
      <c r="X99" s="211"/>
      <c r="Y99" s="1167" t="s">
        <v>413</v>
      </c>
      <c r="Z99" s="347" t="s">
        <v>336</v>
      </c>
      <c r="AA99" s="150" t="s">
        <v>215</v>
      </c>
      <c r="AB99" s="59" t="s">
        <v>15</v>
      </c>
      <c r="AI99" s="42"/>
      <c r="AJ99" s="60"/>
      <c r="AK99" s="60"/>
      <c r="AM99" s="139"/>
      <c r="AN99" s="139"/>
      <c r="AO99" s="139"/>
      <c r="AP99" s="139"/>
      <c r="AQ99" s="139"/>
      <c r="AR99" s="139"/>
      <c r="AS99" s="139"/>
      <c r="AT99" s="139"/>
      <c r="AU99" s="139"/>
      <c r="AV99" s="139"/>
      <c r="AW99" s="139"/>
      <c r="AY99" s="97"/>
      <c r="AZ99" s="97"/>
      <c r="BA99" s="97"/>
      <c r="BB99" s="97"/>
      <c r="BC99" s="97"/>
      <c r="BO99" s="60"/>
      <c r="BP99" s="60"/>
      <c r="BQ99" s="60"/>
      <c r="BR99" s="60"/>
      <c r="BS99" s="60"/>
      <c r="BT99" s="60"/>
      <c r="BW99" s="146"/>
      <c r="BX99" s="146" t="str">
        <f>E99</f>
        <v>Transport</v>
      </c>
      <c r="BY99" s="146">
        <f>IFERROR(VLOOKUP($E99,'Pre-Assessment Estimator'!$E$11:$AI$225,'Pre-Assessment Estimator'!AI$2,FALSE),"")</f>
        <v>0</v>
      </c>
      <c r="BZ99" s="146" t="str">
        <f t="shared" si="201"/>
        <v/>
      </c>
      <c r="CA99" s="146" t="str">
        <f>IFERROR(VLOOKUP($BX99,$E$292:$H$325,G$290,FALSE),"")</f>
        <v/>
      </c>
      <c r="CB99" s="146"/>
      <c r="CC99" s="96" t="str">
        <f t="shared" si="202"/>
        <v/>
      </c>
    </row>
    <row r="100" spans="1:81" x14ac:dyDescent="0.25">
      <c r="A100" s="96">
        <v>92</v>
      </c>
      <c r="B100" s="137" t="str">
        <f>D100</f>
        <v>Tra 01</v>
      </c>
      <c r="C100" s="137" t="str">
        <f>B100</f>
        <v>Tra 01</v>
      </c>
      <c r="D100" s="833" t="s">
        <v>148</v>
      </c>
      <c r="E100" s="831" t="s">
        <v>462</v>
      </c>
      <c r="F100" s="933">
        <f>SUM(F101:F102)</f>
        <v>3</v>
      </c>
      <c r="G100" s="933">
        <f t="shared" ref="G100:R100" si="207">SUM(G101:G102)</f>
        <v>3</v>
      </c>
      <c r="H100" s="933">
        <f t="shared" si="207"/>
        <v>3</v>
      </c>
      <c r="I100" s="933">
        <f t="shared" si="207"/>
        <v>3</v>
      </c>
      <c r="J100" s="933">
        <f t="shared" si="207"/>
        <v>3</v>
      </c>
      <c r="K100" s="933">
        <f t="shared" si="207"/>
        <v>3</v>
      </c>
      <c r="L100" s="933">
        <f t="shared" si="207"/>
        <v>3</v>
      </c>
      <c r="M100" s="933">
        <f t="shared" si="207"/>
        <v>3</v>
      </c>
      <c r="N100" s="933">
        <f t="shared" si="207"/>
        <v>3</v>
      </c>
      <c r="O100" s="933">
        <f t="shared" si="207"/>
        <v>3</v>
      </c>
      <c r="P100" s="933">
        <f t="shared" si="207"/>
        <v>3</v>
      </c>
      <c r="Q100" s="933">
        <f t="shared" ref="Q100" si="208">SUM(Q101:Q102)</f>
        <v>3</v>
      </c>
      <c r="R100" s="933">
        <f t="shared" si="207"/>
        <v>3</v>
      </c>
      <c r="T100" s="150">
        <f t="shared" ref="T100:T105" si="209">HLOOKUP($E$6,$F$9:$R$231,$A100,FALSE)</f>
        <v>3</v>
      </c>
      <c r="U100" s="222"/>
      <c r="V100" s="230"/>
      <c r="W100" s="230"/>
      <c r="X100" s="230">
        <f>'Manuell filtrering og justering'!E43</f>
        <v>0</v>
      </c>
      <c r="Y100" s="230"/>
      <c r="Z100" s="958">
        <f t="shared" ref="Z100" si="210">SUM(Z101:Z102)</f>
        <v>3</v>
      </c>
      <c r="AA100" s="963">
        <f t="shared" ref="AA100:AA105" si="211">IF(SUM(U100:Y100)&gt;T100,T100,SUM(U100:Y100))</f>
        <v>0</v>
      </c>
      <c r="AB100" s="1067">
        <f t="shared" ref="AB100" si="212">SUM(AB101:AB102)</f>
        <v>3</v>
      </c>
      <c r="AD100" s="171">
        <f t="shared" ref="AD100:AD109" si="213">(Tra_Weight/Tra_Credits)*AB100</f>
        <v>2.3076923076923078E-2</v>
      </c>
      <c r="AE100" s="921">
        <f>SUM(AE101:AE102)</f>
        <v>0</v>
      </c>
      <c r="AF100" s="921">
        <f t="shared" ref="AF100" si="214">SUM(AF101:AF102)</f>
        <v>0</v>
      </c>
      <c r="AG100" s="921">
        <f t="shared" ref="AG100" si="215">SUM(AG101:AG102)</f>
        <v>0</v>
      </c>
      <c r="AI100" s="958">
        <f t="shared" ref="AI100" si="216">SUM(AI101:AI102)</f>
        <v>0</v>
      </c>
      <c r="AJ100" s="958">
        <f t="shared" ref="AJ100" si="217">SUM(AJ101:AJ102)</f>
        <v>0</v>
      </c>
      <c r="AK100" s="958">
        <f t="shared" ref="AK100" si="218">SUM(AK101:AK102)</f>
        <v>0</v>
      </c>
      <c r="AM100" s="298"/>
      <c r="AN100" s="299"/>
      <c r="AO100" s="299"/>
      <c r="AP100" s="299"/>
      <c r="AQ100" s="300"/>
      <c r="AR100" s="139"/>
      <c r="AS100" s="298"/>
      <c r="AT100" s="299"/>
      <c r="AU100" s="299"/>
      <c r="AV100" s="299"/>
      <c r="AW100" s="300"/>
      <c r="AY100" s="218"/>
      <c r="AZ100" s="219"/>
      <c r="BA100" s="219"/>
      <c r="BB100" s="219"/>
      <c r="BC100" s="220"/>
      <c r="BD100" s="174">
        <f t="shared" si="60"/>
        <v>9</v>
      </c>
      <c r="BE100" s="164" t="str">
        <f t="shared" ref="BE100:BE109" si="219">VLOOKUP(BD100,$BO$283:$BT$289,6,FALSE)</f>
        <v>N/A</v>
      </c>
      <c r="BF100" s="178"/>
      <c r="BG100" s="174">
        <f t="shared" ref="BG100:BG109" si="220">IF(BC100=0,9,IF(AJ100&gt;=BC100,5,IF(AJ100&gt;=BB100,4,IF(AJ100&gt;=BA100,3,IF(AJ100&gt;=AZ100,2,IF(AJ100&lt;AY100,0,1))))))</f>
        <v>9</v>
      </c>
      <c r="BH100" s="164" t="str">
        <f t="shared" ref="BH100:BH109" si="221">VLOOKUP(BG100,$BO$283:$BT$289,6,FALSE)</f>
        <v>N/A</v>
      </c>
      <c r="BI100" s="178"/>
      <c r="BJ100" s="174">
        <f t="shared" si="28"/>
        <v>9</v>
      </c>
      <c r="BK100" s="164" t="str">
        <f t="shared" ref="BK100:BK109" si="222">VLOOKUP(BJ100,$BO$283:$BT$289,6,FALSE)</f>
        <v>N/A</v>
      </c>
      <c r="BL100" s="178"/>
      <c r="BO100" s="167"/>
      <c r="BP100" s="167"/>
      <c r="BQ100" s="167" t="str">
        <f t="shared" si="157"/>
        <v/>
      </c>
      <c r="BR100" s="167">
        <f t="shared" si="198"/>
        <v>9</v>
      </c>
      <c r="BS100" s="167">
        <f t="shared" si="199"/>
        <v>9</v>
      </c>
      <c r="BT100" s="167">
        <f t="shared" si="200"/>
        <v>9</v>
      </c>
      <c r="BW100" s="164" t="str">
        <f>D100</f>
        <v>Tra 01</v>
      </c>
      <c r="BX100" s="164" t="str">
        <f>IFERROR(VLOOKUP($E100,'Pre-Assessment Estimator'!$E$11:$AB$225,'Pre-Assessment Estimator'!AB$2,FALSE),"")</f>
        <v>N/A</v>
      </c>
      <c r="BY100" s="164">
        <f>IFERROR(VLOOKUP($E100,'Pre-Assessment Estimator'!$E$11:$AI$225,'Pre-Assessment Estimator'!AI$2,FALSE),"")</f>
        <v>0</v>
      </c>
      <c r="BZ100" s="164">
        <f t="shared" si="201"/>
        <v>1</v>
      </c>
      <c r="CA100" s="164">
        <f>IFERROR(VLOOKUP($BX100,$E$292:$H$325,G$290,FALSE),"")</f>
        <v>0</v>
      </c>
      <c r="CB100" s="164"/>
      <c r="CC100" s="96" t="str">
        <f t="shared" si="202"/>
        <v/>
      </c>
    </row>
    <row r="101" spans="1:81" x14ac:dyDescent="0.25">
      <c r="A101" s="96">
        <v>93</v>
      </c>
      <c r="B101" s="96" t="str">
        <f t="shared" ref="B101:B102" si="223">$D$100&amp;D101</f>
        <v>Tra 01a</v>
      </c>
      <c r="C101" s="96" t="str">
        <f t="shared" si="159"/>
        <v>Tra 01</v>
      </c>
      <c r="D101" s="163" t="s">
        <v>694</v>
      </c>
      <c r="E101" s="1124" t="s">
        <v>638</v>
      </c>
      <c r="F101" s="939">
        <v>2</v>
      </c>
      <c r="G101" s="939">
        <v>2</v>
      </c>
      <c r="H101" s="939">
        <v>2</v>
      </c>
      <c r="I101" s="939">
        <v>2</v>
      </c>
      <c r="J101" s="939">
        <v>2</v>
      </c>
      <c r="K101" s="939">
        <v>2</v>
      </c>
      <c r="L101" s="939">
        <v>2</v>
      </c>
      <c r="M101" s="939">
        <v>2</v>
      </c>
      <c r="N101" s="939">
        <v>2</v>
      </c>
      <c r="O101" s="939">
        <v>2</v>
      </c>
      <c r="P101" s="939">
        <v>2</v>
      </c>
      <c r="Q101" s="939">
        <v>2</v>
      </c>
      <c r="R101" s="939">
        <v>2</v>
      </c>
      <c r="T101" s="221">
        <f t="shared" si="209"/>
        <v>2</v>
      </c>
      <c r="U101" s="1024">
        <f>IF(AND(ADBT0=ADBT8,'Assessment Details'!F6='Assessment Details'!U7),T101,0)*0</f>
        <v>0</v>
      </c>
      <c r="V101" s="167"/>
      <c r="W101" s="167"/>
      <c r="X101" s="167"/>
      <c r="Y101" s="168"/>
      <c r="Z101" s="168">
        <f>VLOOKUP(B101,'Manuell filtrering og justering'!$A$7:$H$107,'Manuell filtrering og justering'!$H$1,FALSE)</f>
        <v>2</v>
      </c>
      <c r="AA101" s="169">
        <f t="shared" si="211"/>
        <v>0</v>
      </c>
      <c r="AB101" s="170">
        <f>IF($AC$5='Manuell filtrering og justering'!$J$2,Z101,(T101-AA101))</f>
        <v>2</v>
      </c>
      <c r="AD101" s="171">
        <f t="shared" si="213"/>
        <v>1.5384615384615385E-2</v>
      </c>
      <c r="AE101" s="171">
        <f t="shared" ref="AE101:AE105" si="224">IF(AB101=0,0,(AD101/AB101)*AI101)</f>
        <v>0</v>
      </c>
      <c r="AF101" s="171">
        <f t="shared" ref="AF101:AF105" si="225">IF(AB101=0,0,(AD101/AB101)*AJ101)</f>
        <v>0</v>
      </c>
      <c r="AG101" s="171">
        <f t="shared" ref="AG101:AG105" si="226">IF(AB101=0,0,(AD101/AB101)*AK101)</f>
        <v>0</v>
      </c>
      <c r="AI101" s="172">
        <f>IF(VLOOKUP(E101,'Pre-Assessment Estimator'!$E$11:$Z$225,'Pre-Assessment Estimator'!$G$2,FALSE)&gt;AB101,AB101,VLOOKUP(E101,'Pre-Assessment Estimator'!$E$11:$Z$225,'Pre-Assessment Estimator'!$G$2,FALSE))</f>
        <v>0</v>
      </c>
      <c r="AJ101" s="172">
        <f>IF(VLOOKUP(E101,'Pre-Assessment Estimator'!$E$11:$Z$225,'Pre-Assessment Estimator'!$N$2,FALSE)&gt;AB101,AB101,VLOOKUP(E101,'Pre-Assessment Estimator'!$E$11:$Z$225,'Pre-Assessment Estimator'!$N$2,FALSE))</f>
        <v>0</v>
      </c>
      <c r="AK101" s="172">
        <f>IF(VLOOKUP(E101,'Pre-Assessment Estimator'!$E$11:$Z$225,'Pre-Assessment Estimator'!$U$2,FALSE)&gt;AB101,AB101,VLOOKUP(E101,'Pre-Assessment Estimator'!$E$11:$Z$225,'Pre-Assessment Estimator'!$U$2,FALSE))</f>
        <v>0</v>
      </c>
      <c r="AM101" s="835"/>
      <c r="AN101" s="836"/>
      <c r="AO101" s="836"/>
      <c r="AP101" s="836"/>
      <c r="AQ101" s="837"/>
      <c r="AR101" s="139"/>
      <c r="AS101" s="835"/>
      <c r="AT101" s="836"/>
      <c r="AU101" s="836"/>
      <c r="AV101" s="836"/>
      <c r="AW101" s="837"/>
      <c r="AY101" s="708"/>
      <c r="AZ101" s="709"/>
      <c r="BA101" s="709"/>
      <c r="BB101" s="709"/>
      <c r="BC101" s="838"/>
      <c r="BD101" s="182">
        <f t="shared" ref="BD101:BD105" si="227">IF(BC101=0,9,IF(AI101&gt;=BC101,5,IF(AI101&gt;=BB101,4,IF(AI101&gt;=BA101,3,IF(AI101&gt;=AZ101,2,IF(AI101&lt;AY101,0,1))))))</f>
        <v>9</v>
      </c>
      <c r="BE101" s="164" t="str">
        <f t="shared" si="219"/>
        <v>N/A</v>
      </c>
      <c r="BF101" s="185"/>
      <c r="BG101" s="182">
        <f t="shared" ref="BG101:BG105" si="228">IF(BC101=0,9,IF(AJ101&gt;=BC101,5,IF(AJ101&gt;=BB101,4,IF(AJ101&gt;=BA101,3,IF(AJ101&gt;=AZ101,2,IF(AJ101&lt;AY101,0,1))))))</f>
        <v>9</v>
      </c>
      <c r="BH101" s="164" t="str">
        <f t="shared" si="221"/>
        <v>N/A</v>
      </c>
      <c r="BI101" s="185"/>
      <c r="BJ101" s="182">
        <f t="shared" ref="BJ101:BJ105" si="229">IF(BC101=0,9,IF(AK101&gt;=BC101,5,IF(AK101&gt;=BB101,4,IF(AK101&gt;=BA101,3,IF(AK101&gt;=AZ101,2,IF(AK101&lt;AY101,0,1))))))</f>
        <v>9</v>
      </c>
      <c r="BK101" s="164" t="str">
        <f t="shared" si="222"/>
        <v>N/A</v>
      </c>
      <c r="BL101" s="830"/>
      <c r="BO101" s="167"/>
      <c r="BP101" s="167"/>
      <c r="BQ101" s="167" t="str">
        <f t="shared" si="157"/>
        <v/>
      </c>
      <c r="BR101" s="167">
        <f t="shared" si="198"/>
        <v>9</v>
      </c>
      <c r="BS101" s="167">
        <f t="shared" si="199"/>
        <v>9</v>
      </c>
      <c r="BT101" s="167">
        <f t="shared" si="200"/>
        <v>9</v>
      </c>
      <c r="BW101" s="164"/>
      <c r="BX101" s="164"/>
      <c r="BY101" s="164"/>
      <c r="BZ101" s="164"/>
      <c r="CA101" s="164"/>
      <c r="CB101" s="164"/>
    </row>
    <row r="102" spans="1:81" x14ac:dyDescent="0.25">
      <c r="A102" s="96">
        <v>94</v>
      </c>
      <c r="B102" s="96" t="str">
        <f t="shared" si="223"/>
        <v>Tra 01b</v>
      </c>
      <c r="C102" s="96" t="str">
        <f t="shared" si="159"/>
        <v>Tra 01</v>
      </c>
      <c r="D102" s="163" t="s">
        <v>697</v>
      </c>
      <c r="E102" s="1124" t="s">
        <v>639</v>
      </c>
      <c r="F102" s="939">
        <v>1</v>
      </c>
      <c r="G102" s="939">
        <v>1</v>
      </c>
      <c r="H102" s="939">
        <v>1</v>
      </c>
      <c r="I102" s="939">
        <v>1</v>
      </c>
      <c r="J102" s="939">
        <v>1</v>
      </c>
      <c r="K102" s="939">
        <v>1</v>
      </c>
      <c r="L102" s="939">
        <v>1</v>
      </c>
      <c r="M102" s="939">
        <v>1</v>
      </c>
      <c r="N102" s="939">
        <v>1</v>
      </c>
      <c r="O102" s="939">
        <v>1</v>
      </c>
      <c r="P102" s="939">
        <v>1</v>
      </c>
      <c r="Q102" s="939">
        <v>1</v>
      </c>
      <c r="R102" s="939">
        <v>1</v>
      </c>
      <c r="T102" s="221">
        <f t="shared" si="209"/>
        <v>1</v>
      </c>
      <c r="U102" s="188"/>
      <c r="V102" s="167"/>
      <c r="W102" s="167"/>
      <c r="X102" s="167"/>
      <c r="Y102" s="168"/>
      <c r="Z102" s="168">
        <f>VLOOKUP(B102,'Manuell filtrering og justering'!$A$7:$H$107,'Manuell filtrering og justering'!$H$1,FALSE)</f>
        <v>1</v>
      </c>
      <c r="AA102" s="169">
        <f t="shared" si="211"/>
        <v>0</v>
      </c>
      <c r="AB102" s="170">
        <f>IF($AC$5='Manuell filtrering og justering'!$J$2,Z102,(T102-AA102))</f>
        <v>1</v>
      </c>
      <c r="AD102" s="171">
        <f t="shared" si="213"/>
        <v>7.6923076923076927E-3</v>
      </c>
      <c r="AE102" s="171">
        <f t="shared" si="224"/>
        <v>0</v>
      </c>
      <c r="AF102" s="171">
        <f t="shared" si="225"/>
        <v>0</v>
      </c>
      <c r="AG102" s="171">
        <f t="shared" si="226"/>
        <v>0</v>
      </c>
      <c r="AI102" s="172">
        <f>IF(VLOOKUP(E102,'Pre-Assessment Estimator'!$E$11:$Z$225,'Pre-Assessment Estimator'!$G$2,FALSE)&gt;AB102,AB102,VLOOKUP(E102,'Pre-Assessment Estimator'!$E$11:$Z$225,'Pre-Assessment Estimator'!$G$2,FALSE))</f>
        <v>0</v>
      </c>
      <c r="AJ102" s="172">
        <f>IF(VLOOKUP(E102,'Pre-Assessment Estimator'!$E$11:$Z$225,'Pre-Assessment Estimator'!$N$2,FALSE)&gt;AB102,AB102,VLOOKUP(E102,'Pre-Assessment Estimator'!$E$11:$Z$225,'Pre-Assessment Estimator'!$N$2,FALSE))</f>
        <v>0</v>
      </c>
      <c r="AK102" s="172">
        <f>IF(VLOOKUP(E102,'Pre-Assessment Estimator'!$E$11:$Z$225,'Pre-Assessment Estimator'!$U$2,FALSE)&gt;AB102,AB102,VLOOKUP(E102,'Pre-Assessment Estimator'!$E$11:$Z$225,'Pre-Assessment Estimator'!$U$2,FALSE))</f>
        <v>0</v>
      </c>
      <c r="AM102" s="835"/>
      <c r="AN102" s="836"/>
      <c r="AO102" s="836"/>
      <c r="AP102" s="836">
        <v>1</v>
      </c>
      <c r="AQ102" s="837">
        <v>1</v>
      </c>
      <c r="AR102" s="139"/>
      <c r="AS102" s="835"/>
      <c r="AT102" s="836"/>
      <c r="AU102" s="836"/>
      <c r="AV102" s="836">
        <v>1</v>
      </c>
      <c r="AW102" s="837">
        <v>1</v>
      </c>
      <c r="AY102" s="708"/>
      <c r="AZ102" s="709"/>
      <c r="BA102" s="709"/>
      <c r="BB102" s="183">
        <f>IF($AB102=0,0,IF($E$6=$H$9,AV102,AP102))</f>
        <v>1</v>
      </c>
      <c r="BC102" s="183">
        <f>IF($AB102=0,0,IF($E$6=$H$9,AW102,AQ102))</f>
        <v>1</v>
      </c>
      <c r="BD102" s="182">
        <f t="shared" si="227"/>
        <v>3</v>
      </c>
      <c r="BE102" s="164" t="str">
        <f t="shared" si="219"/>
        <v>Very Good</v>
      </c>
      <c r="BF102" s="185"/>
      <c r="BG102" s="182">
        <f t="shared" si="228"/>
        <v>3</v>
      </c>
      <c r="BH102" s="164" t="str">
        <f t="shared" si="221"/>
        <v>Very Good</v>
      </c>
      <c r="BI102" s="185"/>
      <c r="BJ102" s="182">
        <f t="shared" si="229"/>
        <v>3</v>
      </c>
      <c r="BK102" s="164" t="str">
        <f t="shared" si="222"/>
        <v>Very Good</v>
      </c>
      <c r="BL102" s="830"/>
      <c r="BO102" s="167"/>
      <c r="BP102" s="167"/>
      <c r="BQ102" s="167" t="str">
        <f t="shared" si="157"/>
        <v/>
      </c>
      <c r="BR102" s="167">
        <f t="shared" si="198"/>
        <v>9</v>
      </c>
      <c r="BS102" s="167">
        <f t="shared" si="199"/>
        <v>9</v>
      </c>
      <c r="BT102" s="167">
        <f t="shared" si="200"/>
        <v>9</v>
      </c>
      <c r="BW102" s="164"/>
      <c r="BX102" s="164"/>
      <c r="BY102" s="164"/>
      <c r="BZ102" s="164"/>
      <c r="CA102" s="164"/>
      <c r="CB102" s="164"/>
    </row>
    <row r="103" spans="1:81" x14ac:dyDescent="0.25">
      <c r="A103" s="96">
        <v>95</v>
      </c>
      <c r="B103" s="137" t="str">
        <f>D103</f>
        <v>Tra 02</v>
      </c>
      <c r="C103" s="137" t="str">
        <f>B103</f>
        <v>Tra 02</v>
      </c>
      <c r="D103" s="834" t="s">
        <v>149</v>
      </c>
      <c r="E103" s="832" t="s">
        <v>463</v>
      </c>
      <c r="F103" s="933">
        <f>SUM(F104:F105)</f>
        <v>10</v>
      </c>
      <c r="G103" s="933">
        <f t="shared" ref="G103:R103" si="230">SUM(G104:G105)</f>
        <v>10</v>
      </c>
      <c r="H103" s="933">
        <f t="shared" si="230"/>
        <v>10</v>
      </c>
      <c r="I103" s="933">
        <f t="shared" si="230"/>
        <v>10</v>
      </c>
      <c r="J103" s="933">
        <f t="shared" si="230"/>
        <v>10</v>
      </c>
      <c r="K103" s="933">
        <f t="shared" si="230"/>
        <v>10</v>
      </c>
      <c r="L103" s="933">
        <f t="shared" si="230"/>
        <v>10</v>
      </c>
      <c r="M103" s="933">
        <f t="shared" si="230"/>
        <v>10</v>
      </c>
      <c r="N103" s="933">
        <f t="shared" si="230"/>
        <v>10</v>
      </c>
      <c r="O103" s="933">
        <f t="shared" si="230"/>
        <v>10</v>
      </c>
      <c r="P103" s="933">
        <f t="shared" si="230"/>
        <v>10</v>
      </c>
      <c r="Q103" s="933">
        <f t="shared" ref="Q103" si="231">SUM(Q104:Q105)</f>
        <v>10</v>
      </c>
      <c r="R103" s="933">
        <f t="shared" si="230"/>
        <v>10</v>
      </c>
      <c r="T103" s="963">
        <f t="shared" si="209"/>
        <v>10</v>
      </c>
      <c r="U103" s="222"/>
      <c r="V103" s="230"/>
      <c r="W103" s="230"/>
      <c r="X103" s="230">
        <f>'Manuell filtrering og justering'!E44</f>
        <v>0</v>
      </c>
      <c r="Y103" s="230"/>
      <c r="Z103" s="958">
        <f t="shared" ref="Z103" si="232">SUM(Z104:Z105)</f>
        <v>10</v>
      </c>
      <c r="AA103" s="963">
        <f t="shared" si="211"/>
        <v>0</v>
      </c>
      <c r="AB103" s="1067">
        <f t="shared" ref="AB103" si="233">SUM(AB104:AB105)</f>
        <v>10</v>
      </c>
      <c r="AD103" s="171">
        <f t="shared" si="213"/>
        <v>7.6923076923076927E-2</v>
      </c>
      <c r="AE103" s="921">
        <f>SUM(AE104:AE105)</f>
        <v>0</v>
      </c>
      <c r="AF103" s="921">
        <f t="shared" ref="AF103" si="234">SUM(AF104:AF105)</f>
        <v>0</v>
      </c>
      <c r="AG103" s="921">
        <f t="shared" ref="AG103" si="235">SUM(AG104:AG105)</f>
        <v>0</v>
      </c>
      <c r="AI103" s="958">
        <f t="shared" ref="AI103" si="236">SUM(AI104:AI105)</f>
        <v>0</v>
      </c>
      <c r="AJ103" s="958">
        <f t="shared" ref="AJ103" si="237">SUM(AJ104:AJ105)</f>
        <v>0</v>
      </c>
      <c r="AK103" s="958">
        <f t="shared" ref="AK103" si="238">SUM(AK104:AK105)</f>
        <v>0</v>
      </c>
      <c r="AM103" s="292"/>
      <c r="AN103" s="293"/>
      <c r="AO103" s="293"/>
      <c r="AP103" s="293"/>
      <c r="AQ103" s="294"/>
      <c r="AR103" s="139"/>
      <c r="AS103" s="292"/>
      <c r="AT103" s="293"/>
      <c r="AU103" s="293"/>
      <c r="AV103" s="293"/>
      <c r="AW103" s="294"/>
      <c r="AY103" s="188"/>
      <c r="AZ103" s="189"/>
      <c r="BA103" s="189"/>
      <c r="BB103" s="189"/>
      <c r="BC103" s="190"/>
      <c r="BD103" s="182">
        <f t="shared" si="227"/>
        <v>9</v>
      </c>
      <c r="BE103" s="164" t="str">
        <f t="shared" si="219"/>
        <v>N/A</v>
      </c>
      <c r="BF103" s="185"/>
      <c r="BG103" s="182">
        <f t="shared" si="228"/>
        <v>9</v>
      </c>
      <c r="BH103" s="164" t="str">
        <f t="shared" si="221"/>
        <v>N/A</v>
      </c>
      <c r="BI103" s="185"/>
      <c r="BJ103" s="182">
        <f t="shared" si="229"/>
        <v>9</v>
      </c>
      <c r="BK103" s="164" t="str">
        <f t="shared" si="222"/>
        <v>N/A</v>
      </c>
      <c r="BL103" s="185"/>
      <c r="BO103" s="167"/>
      <c r="BP103" s="167"/>
      <c r="BQ103" s="167" t="str">
        <f t="shared" si="157"/>
        <v/>
      </c>
      <c r="BR103" s="167">
        <f t="shared" si="198"/>
        <v>9</v>
      </c>
      <c r="BS103" s="167">
        <f t="shared" si="199"/>
        <v>9</v>
      </c>
      <c r="BT103" s="167">
        <f t="shared" si="200"/>
        <v>9</v>
      </c>
      <c r="BW103" s="167" t="str">
        <f>D103</f>
        <v>Tra 02</v>
      </c>
      <c r="BX103" s="167" t="str">
        <f>IFERROR(VLOOKUP($E103,'Pre-Assessment Estimator'!$E$11:$AB$225,'Pre-Assessment Estimator'!AB$2,FALSE),"")</f>
        <v>N/A</v>
      </c>
      <c r="BY103" s="167">
        <f>IFERROR(VLOOKUP($E103,'Pre-Assessment Estimator'!$E$11:$AI$225,'Pre-Assessment Estimator'!AI$2,FALSE),"")</f>
        <v>0</v>
      </c>
      <c r="BZ103" s="167">
        <f>IFERROR(VLOOKUP($BX103,$E$292:$H$325,F$290,FALSE),"")</f>
        <v>1</v>
      </c>
      <c r="CA103" s="167">
        <f>IFERROR(VLOOKUP($BX103,$E$292:$H$325,G$290,FALSE),"")</f>
        <v>0</v>
      </c>
      <c r="CB103" s="167"/>
      <c r="CC103" s="96" t="str">
        <f>IFERROR(VLOOKUP($BX103,$E$292:$H$325,I$290,FALSE),"")</f>
        <v/>
      </c>
    </row>
    <row r="104" spans="1:81" x14ac:dyDescent="0.25">
      <c r="A104" s="96">
        <v>96</v>
      </c>
      <c r="C104" s="96" t="str">
        <f t="shared" si="159"/>
        <v>Tra 02</v>
      </c>
      <c r="D104" s="163" t="s">
        <v>694</v>
      </c>
      <c r="E104" s="1124" t="s">
        <v>996</v>
      </c>
      <c r="F104" s="775">
        <v>0</v>
      </c>
      <c r="G104" s="775">
        <v>0</v>
      </c>
      <c r="H104" s="775">
        <v>0</v>
      </c>
      <c r="I104" s="775">
        <v>0</v>
      </c>
      <c r="J104" s="775">
        <v>0</v>
      </c>
      <c r="K104" s="775">
        <v>0</v>
      </c>
      <c r="L104" s="775">
        <v>0</v>
      </c>
      <c r="M104" s="775">
        <v>0</v>
      </c>
      <c r="N104" s="775">
        <v>0</v>
      </c>
      <c r="O104" s="775">
        <v>0</v>
      </c>
      <c r="P104" s="775">
        <v>0</v>
      </c>
      <c r="Q104" s="775">
        <v>0</v>
      </c>
      <c r="R104" s="775">
        <v>0</v>
      </c>
      <c r="T104" s="221">
        <f t="shared" si="209"/>
        <v>0</v>
      </c>
      <c r="U104" s="166"/>
      <c r="V104" s="167"/>
      <c r="W104" s="167"/>
      <c r="X104" s="167"/>
      <c r="Y104" s="168"/>
      <c r="Z104" s="168"/>
      <c r="AA104" s="169">
        <f t="shared" si="211"/>
        <v>0</v>
      </c>
      <c r="AB104" s="170"/>
      <c r="AD104" s="171">
        <f t="shared" si="213"/>
        <v>0</v>
      </c>
      <c r="AE104" s="171">
        <f t="shared" si="224"/>
        <v>0</v>
      </c>
      <c r="AF104" s="171">
        <f t="shared" si="225"/>
        <v>0</v>
      </c>
      <c r="AG104" s="171">
        <f t="shared" si="226"/>
        <v>0</v>
      </c>
      <c r="AI104" s="172">
        <f>IF(VLOOKUP(E104,'Pre-Assessment Estimator'!$E$11:$Z$225,'Pre-Assessment Estimator'!$G$2,FALSE)&gt;AB104,AB104,VLOOKUP(E104,'Pre-Assessment Estimator'!$E$11:$Z$225,'Pre-Assessment Estimator'!$G$2,FALSE))</f>
        <v>0</v>
      </c>
      <c r="AJ104" s="172">
        <f>IF(VLOOKUP(E104,'Pre-Assessment Estimator'!$E$11:$Z$225,'Pre-Assessment Estimator'!$N$2,FALSE)&gt;AB104,AB104,VLOOKUP(E104,'Pre-Assessment Estimator'!$E$11:$Z$225,'Pre-Assessment Estimator'!$N$2,FALSE))</f>
        <v>0</v>
      </c>
      <c r="AK104" s="172">
        <f>IF(VLOOKUP(E104,'Pre-Assessment Estimator'!$E$11:$Z$225,'Pre-Assessment Estimator'!$U$2,FALSE)&gt;AB104,AB104,VLOOKUP(E104,'Pre-Assessment Estimator'!$E$11:$Z$225,'Pre-Assessment Estimator'!$U$2,FALSE))</f>
        <v>0</v>
      </c>
      <c r="AM104" s="292"/>
      <c r="AN104" s="293"/>
      <c r="AO104" s="293"/>
      <c r="AP104" s="293"/>
      <c r="AQ104" s="294"/>
      <c r="AR104" s="139"/>
      <c r="AS104" s="292"/>
      <c r="AT104" s="293"/>
      <c r="AU104" s="293"/>
      <c r="AV104" s="293"/>
      <c r="AW104" s="294"/>
      <c r="AY104" s="188"/>
      <c r="AZ104" s="189"/>
      <c r="BA104" s="189"/>
      <c r="BB104" s="189"/>
      <c r="BC104" s="190"/>
      <c r="BD104" s="182">
        <f t="shared" si="227"/>
        <v>9</v>
      </c>
      <c r="BE104" s="164" t="str">
        <f t="shared" si="219"/>
        <v>N/A</v>
      </c>
      <c r="BF104" s="185"/>
      <c r="BG104" s="182">
        <f t="shared" si="228"/>
        <v>9</v>
      </c>
      <c r="BH104" s="164" t="str">
        <f t="shared" si="221"/>
        <v>N/A</v>
      </c>
      <c r="BI104" s="185"/>
      <c r="BJ104" s="182">
        <f t="shared" si="229"/>
        <v>9</v>
      </c>
      <c r="BK104" s="164" t="str">
        <f t="shared" si="222"/>
        <v>N/A</v>
      </c>
      <c r="BL104" s="185"/>
      <c r="BO104" s="167"/>
      <c r="BP104" s="167"/>
      <c r="BQ104" s="167" t="str">
        <f t="shared" si="157"/>
        <v/>
      </c>
      <c r="BR104" s="167">
        <f t="shared" si="198"/>
        <v>9</v>
      </c>
      <c r="BS104" s="167">
        <f t="shared" si="199"/>
        <v>9</v>
      </c>
      <c r="BT104" s="167">
        <f t="shared" si="200"/>
        <v>9</v>
      </c>
      <c r="BW104" s="167"/>
      <c r="BX104" s="167"/>
      <c r="BY104" s="167"/>
      <c r="BZ104" s="167"/>
      <c r="CA104" s="167"/>
      <c r="CB104" s="167"/>
    </row>
    <row r="105" spans="1:81" x14ac:dyDescent="0.25">
      <c r="A105" s="96">
        <v>97</v>
      </c>
      <c r="B105" s="96" t="str">
        <f t="shared" ref="B105" si="239">$D$103&amp;D105</f>
        <v>Tra 02b</v>
      </c>
      <c r="C105" s="96" t="str">
        <f t="shared" si="159"/>
        <v>Tra 02</v>
      </c>
      <c r="D105" s="163" t="s">
        <v>697</v>
      </c>
      <c r="E105" s="1124" t="s">
        <v>641</v>
      </c>
      <c r="F105" s="775">
        <v>10</v>
      </c>
      <c r="G105" s="775">
        <v>10</v>
      </c>
      <c r="H105" s="775">
        <v>10</v>
      </c>
      <c r="I105" s="775">
        <v>10</v>
      </c>
      <c r="J105" s="775">
        <v>10</v>
      </c>
      <c r="K105" s="775">
        <v>10</v>
      </c>
      <c r="L105" s="775">
        <v>10</v>
      </c>
      <c r="M105" s="775">
        <v>10</v>
      </c>
      <c r="N105" s="775">
        <v>10</v>
      </c>
      <c r="O105" s="775">
        <v>10</v>
      </c>
      <c r="P105" s="775">
        <v>10</v>
      </c>
      <c r="Q105" s="775">
        <v>10</v>
      </c>
      <c r="R105" s="775">
        <v>10</v>
      </c>
      <c r="T105" s="221">
        <f t="shared" si="209"/>
        <v>10</v>
      </c>
      <c r="U105" s="166"/>
      <c r="V105" s="167"/>
      <c r="W105" s="167"/>
      <c r="X105" s="167"/>
      <c r="Y105" s="168"/>
      <c r="Z105" s="168">
        <f>VLOOKUP(B105,'Manuell filtrering og justering'!$A$7:$H$107,'Manuell filtrering og justering'!$H$1,FALSE)</f>
        <v>10</v>
      </c>
      <c r="AA105" s="169">
        <f t="shared" si="211"/>
        <v>0</v>
      </c>
      <c r="AB105" s="170">
        <f>IF($AC$5='Manuell filtrering og justering'!$J$2,Z105,(T105-AA105))</f>
        <v>10</v>
      </c>
      <c r="AD105" s="171">
        <f t="shared" si="213"/>
        <v>7.6923076923076927E-2</v>
      </c>
      <c r="AE105" s="171">
        <f t="shared" si="224"/>
        <v>0</v>
      </c>
      <c r="AF105" s="171">
        <f t="shared" si="225"/>
        <v>0</v>
      </c>
      <c r="AG105" s="171">
        <f t="shared" si="226"/>
        <v>0</v>
      </c>
      <c r="AI105" s="1068">
        <f>IF(AI246=AD_no,0,IF(VLOOKUP(E105,'Pre-Assessment Estimator'!$E$11:$Z$225,'Pre-Assessment Estimator'!$G$2,FALSE)&gt;AB105,AB105,VLOOKUP(E105,'Pre-Assessment Estimator'!$E$11:$Z$225,'Pre-Assessment Estimator'!$G$2,FALSE)))</f>
        <v>0</v>
      </c>
      <c r="AJ105" s="1068">
        <f>IF(AJ246=AD_no,0,IF(VLOOKUP(E105,'Pre-Assessment Estimator'!$E$11:$Z$225,'Pre-Assessment Estimator'!$N$2,FALSE)&gt;AB105,AB105,VLOOKUP(E105,'Pre-Assessment Estimator'!$E$11:$Z$225,'Pre-Assessment Estimator'!$N$2,FALSE)))</f>
        <v>0</v>
      </c>
      <c r="AK105" s="1068">
        <f>IF(AK246=AD_no,0,IF(VLOOKUP(E105,'Pre-Assessment Estimator'!$E$11:$Z$225,'Pre-Assessment Estimator'!$U$2,FALSE)&gt;AB105,AB105,VLOOKUP(E105,'Pre-Assessment Estimator'!$E$11:$Z$225,'Pre-Assessment Estimator'!$U$2,FALSE)))</f>
        <v>0</v>
      </c>
      <c r="AM105" s="292"/>
      <c r="AN105" s="293"/>
      <c r="AO105" s="293"/>
      <c r="AP105" s="293"/>
      <c r="AQ105" s="294"/>
      <c r="AR105" s="139"/>
      <c r="AS105" s="292"/>
      <c r="AT105" s="293"/>
      <c r="AU105" s="293"/>
      <c r="AV105" s="293"/>
      <c r="AW105" s="294"/>
      <c r="AY105" s="188"/>
      <c r="AZ105" s="189"/>
      <c r="BA105" s="189"/>
      <c r="BB105" s="189"/>
      <c r="BC105" s="190"/>
      <c r="BD105" s="182">
        <f t="shared" si="227"/>
        <v>9</v>
      </c>
      <c r="BE105" s="164" t="str">
        <f t="shared" si="219"/>
        <v>N/A</v>
      </c>
      <c r="BF105" s="185"/>
      <c r="BG105" s="182">
        <f t="shared" si="228"/>
        <v>9</v>
      </c>
      <c r="BH105" s="164" t="str">
        <f t="shared" si="221"/>
        <v>N/A</v>
      </c>
      <c r="BI105" s="185"/>
      <c r="BJ105" s="182">
        <f t="shared" si="229"/>
        <v>9</v>
      </c>
      <c r="BK105" s="164" t="str">
        <f t="shared" si="222"/>
        <v>N/A</v>
      </c>
      <c r="BL105" s="185"/>
      <c r="BO105" s="167"/>
      <c r="BP105" s="167"/>
      <c r="BQ105" s="167" t="str">
        <f t="shared" si="157"/>
        <v/>
      </c>
      <c r="BR105" s="167">
        <f t="shared" si="198"/>
        <v>9</v>
      </c>
      <c r="BS105" s="167">
        <f t="shared" si="199"/>
        <v>9</v>
      </c>
      <c r="BT105" s="167">
        <f t="shared" si="200"/>
        <v>9</v>
      </c>
      <c r="BW105" s="167"/>
      <c r="BX105" s="167"/>
      <c r="BY105" s="167"/>
      <c r="BZ105" s="167"/>
      <c r="CA105" s="167"/>
      <c r="CB105" s="167"/>
    </row>
    <row r="106" spans="1:81" x14ac:dyDescent="0.25">
      <c r="A106" s="96">
        <v>98</v>
      </c>
      <c r="D106" s="701" t="s">
        <v>150</v>
      </c>
      <c r="E106" s="700"/>
      <c r="F106" s="934"/>
      <c r="G106" s="934"/>
      <c r="H106" s="934"/>
      <c r="I106" s="934"/>
      <c r="J106" s="934"/>
      <c r="K106" s="934"/>
      <c r="L106" s="934"/>
      <c r="M106" s="934"/>
      <c r="N106" s="934"/>
      <c r="O106" s="934"/>
      <c r="P106" s="934"/>
      <c r="Q106" s="934"/>
      <c r="R106" s="934"/>
      <c r="T106" s="956"/>
      <c r="U106" s="701"/>
      <c r="V106" s="700"/>
      <c r="W106" s="700"/>
      <c r="X106" s="700"/>
      <c r="Y106" s="955"/>
      <c r="Z106" s="955"/>
      <c r="AA106" s="956"/>
      <c r="AB106" s="957"/>
      <c r="AD106" s="171">
        <f t="shared" si="213"/>
        <v>0</v>
      </c>
      <c r="AE106" s="960"/>
      <c r="AF106" s="960"/>
      <c r="AG106" s="960"/>
      <c r="AI106" s="720"/>
      <c r="AJ106" s="720"/>
      <c r="AK106" s="720"/>
      <c r="AM106" s="292"/>
      <c r="AN106" s="293"/>
      <c r="AO106" s="293"/>
      <c r="AP106" s="293"/>
      <c r="AQ106" s="294"/>
      <c r="AR106" s="139"/>
      <c r="AS106" s="292"/>
      <c r="AT106" s="293"/>
      <c r="AU106" s="293"/>
      <c r="AV106" s="293"/>
      <c r="AW106" s="294"/>
      <c r="AY106" s="188"/>
      <c r="AZ106" s="189"/>
      <c r="BA106" s="189"/>
      <c r="BB106" s="189"/>
      <c r="BC106" s="190"/>
      <c r="BD106" s="182">
        <f t="shared" si="60"/>
        <v>9</v>
      </c>
      <c r="BE106" s="164" t="str">
        <f t="shared" si="219"/>
        <v>N/A</v>
      </c>
      <c r="BF106" s="185"/>
      <c r="BG106" s="182">
        <f t="shared" si="220"/>
        <v>9</v>
      </c>
      <c r="BH106" s="164" t="str">
        <f t="shared" si="221"/>
        <v>N/A</v>
      </c>
      <c r="BI106" s="185"/>
      <c r="BJ106" s="182">
        <f t="shared" si="28"/>
        <v>9</v>
      </c>
      <c r="BK106" s="164" t="str">
        <f t="shared" si="222"/>
        <v>N/A</v>
      </c>
      <c r="BL106" s="185"/>
      <c r="BO106" s="167"/>
      <c r="BP106" s="167"/>
      <c r="BQ106" s="167" t="str">
        <f t="shared" si="157"/>
        <v/>
      </c>
      <c r="BR106" s="167">
        <f t="shared" si="198"/>
        <v>9</v>
      </c>
      <c r="BS106" s="167">
        <f t="shared" si="199"/>
        <v>9</v>
      </c>
      <c r="BT106" s="167">
        <f t="shared" si="200"/>
        <v>9</v>
      </c>
      <c r="BW106" s="167" t="str">
        <f>D106</f>
        <v>Tra 03</v>
      </c>
      <c r="BX106" s="167" t="str">
        <f>IFERROR(VLOOKUP($E106,'Pre-Assessment Estimator'!$E$11:$AB$225,'Pre-Assessment Estimator'!AB$2,FALSE),"")</f>
        <v/>
      </c>
      <c r="BY106" s="167" t="str">
        <f>IFERROR(VLOOKUP($E106,'Pre-Assessment Estimator'!$E$11:$AI$225,'Pre-Assessment Estimator'!AI$2,FALSE),"")</f>
        <v/>
      </c>
      <c r="BZ106" s="167" t="str">
        <f t="shared" ref="BZ106:CA113" si="240">IFERROR(VLOOKUP($BX106,$E$292:$H$325,F$290,FALSE),"")</f>
        <v/>
      </c>
      <c r="CA106" s="167" t="str">
        <f t="shared" si="240"/>
        <v/>
      </c>
      <c r="CB106" s="167"/>
      <c r="CC106" s="96" t="s">
        <v>431</v>
      </c>
    </row>
    <row r="107" spans="1:81" x14ac:dyDescent="0.25">
      <c r="A107" s="96">
        <v>99</v>
      </c>
      <c r="D107" s="701" t="s">
        <v>151</v>
      </c>
      <c r="E107" s="700"/>
      <c r="F107" s="934"/>
      <c r="G107" s="934"/>
      <c r="H107" s="934"/>
      <c r="I107" s="934"/>
      <c r="J107" s="934"/>
      <c r="K107" s="934"/>
      <c r="L107" s="934"/>
      <c r="M107" s="934"/>
      <c r="N107" s="934"/>
      <c r="O107" s="934"/>
      <c r="P107" s="934"/>
      <c r="Q107" s="934"/>
      <c r="R107" s="934"/>
      <c r="T107" s="956"/>
      <c r="U107" s="701"/>
      <c r="V107" s="700"/>
      <c r="W107" s="700"/>
      <c r="X107" s="700"/>
      <c r="Y107" s="955"/>
      <c r="Z107" s="955"/>
      <c r="AA107" s="956"/>
      <c r="AB107" s="957"/>
      <c r="AD107" s="171">
        <f t="shared" si="213"/>
        <v>0</v>
      </c>
      <c r="AE107" s="960"/>
      <c r="AF107" s="960"/>
      <c r="AG107" s="960"/>
      <c r="AI107" s="720"/>
      <c r="AJ107" s="720"/>
      <c r="AK107" s="720"/>
      <c r="AM107" s="292"/>
      <c r="AN107" s="293"/>
      <c r="AO107" s="293"/>
      <c r="AP107" s="293"/>
      <c r="AQ107" s="294"/>
      <c r="AR107" s="139"/>
      <c r="AS107" s="292"/>
      <c r="AT107" s="293"/>
      <c r="AU107" s="293"/>
      <c r="AV107" s="293"/>
      <c r="AW107" s="294"/>
      <c r="AY107" s="188"/>
      <c r="AZ107" s="189"/>
      <c r="BA107" s="189"/>
      <c r="BB107" s="189"/>
      <c r="BC107" s="190"/>
      <c r="BD107" s="182">
        <f t="shared" si="60"/>
        <v>9</v>
      </c>
      <c r="BE107" s="164" t="str">
        <f t="shared" si="219"/>
        <v>N/A</v>
      </c>
      <c r="BF107" s="185"/>
      <c r="BG107" s="182">
        <f t="shared" si="220"/>
        <v>9</v>
      </c>
      <c r="BH107" s="164" t="str">
        <f t="shared" si="221"/>
        <v>N/A</v>
      </c>
      <c r="BI107" s="185"/>
      <c r="BJ107" s="182">
        <f t="shared" si="28"/>
        <v>9</v>
      </c>
      <c r="BK107" s="164" t="str">
        <f t="shared" si="222"/>
        <v>N/A</v>
      </c>
      <c r="BL107" s="185"/>
      <c r="BO107" s="167"/>
      <c r="BP107" s="167"/>
      <c r="BQ107" s="167" t="str">
        <f t="shared" si="157"/>
        <v/>
      </c>
      <c r="BR107" s="167">
        <f t="shared" si="198"/>
        <v>9</v>
      </c>
      <c r="BS107" s="167">
        <f t="shared" si="199"/>
        <v>9</v>
      </c>
      <c r="BT107" s="167">
        <f t="shared" si="200"/>
        <v>9</v>
      </c>
      <c r="BW107" s="167" t="str">
        <f>D107</f>
        <v>Tra 04</v>
      </c>
      <c r="BX107" s="167" t="str">
        <f>IFERROR(VLOOKUP($E107,'Pre-Assessment Estimator'!$E$11:$AB$225,'Pre-Assessment Estimator'!AB$2,FALSE),"")</f>
        <v/>
      </c>
      <c r="BY107" s="167" t="str">
        <f>IFERROR(VLOOKUP($E107,'Pre-Assessment Estimator'!$E$11:$AI$225,'Pre-Assessment Estimator'!AI$2,FALSE),"")</f>
        <v/>
      </c>
      <c r="BZ107" s="167" t="str">
        <f t="shared" si="240"/>
        <v/>
      </c>
      <c r="CA107" s="167" t="str">
        <f t="shared" si="240"/>
        <v/>
      </c>
      <c r="CB107" s="167"/>
      <c r="CC107" s="96" t="str">
        <f t="shared" ref="CC107:CC112" si="241">IFERROR(VLOOKUP($BX107,$E$292:$H$325,I$290,FALSE),"")</f>
        <v/>
      </c>
    </row>
    <row r="108" spans="1:81" x14ac:dyDescent="0.25">
      <c r="A108" s="96">
        <v>100</v>
      </c>
      <c r="D108" s="701" t="s">
        <v>152</v>
      </c>
      <c r="E108" s="700"/>
      <c r="F108" s="934"/>
      <c r="G108" s="934"/>
      <c r="H108" s="934"/>
      <c r="I108" s="934"/>
      <c r="J108" s="934"/>
      <c r="K108" s="934"/>
      <c r="L108" s="934"/>
      <c r="M108" s="934"/>
      <c r="N108" s="934"/>
      <c r="O108" s="934"/>
      <c r="P108" s="934"/>
      <c r="Q108" s="934"/>
      <c r="R108" s="934"/>
      <c r="T108" s="956"/>
      <c r="U108" s="701"/>
      <c r="V108" s="700"/>
      <c r="W108" s="700"/>
      <c r="X108" s="700"/>
      <c r="Y108" s="955"/>
      <c r="Z108" s="955"/>
      <c r="AA108" s="956"/>
      <c r="AB108" s="957"/>
      <c r="AD108" s="171">
        <f t="shared" si="213"/>
        <v>0</v>
      </c>
      <c r="AE108" s="960"/>
      <c r="AF108" s="960"/>
      <c r="AG108" s="960"/>
      <c r="AI108" s="720"/>
      <c r="AJ108" s="720"/>
      <c r="AK108" s="720"/>
      <c r="AM108" s="292"/>
      <c r="AN108" s="293"/>
      <c r="AO108" s="293"/>
      <c r="AP108" s="293"/>
      <c r="AQ108" s="294"/>
      <c r="AR108" s="139"/>
      <c r="AS108" s="292"/>
      <c r="AT108" s="293"/>
      <c r="AU108" s="293"/>
      <c r="AV108" s="293"/>
      <c r="AW108" s="294"/>
      <c r="AY108" s="188"/>
      <c r="AZ108" s="189"/>
      <c r="BA108" s="189"/>
      <c r="BB108" s="189"/>
      <c r="BC108" s="190"/>
      <c r="BD108" s="182">
        <f t="shared" si="60"/>
        <v>9</v>
      </c>
      <c r="BE108" s="164" t="str">
        <f t="shared" si="219"/>
        <v>N/A</v>
      </c>
      <c r="BF108" s="185"/>
      <c r="BG108" s="182">
        <f t="shared" si="220"/>
        <v>9</v>
      </c>
      <c r="BH108" s="164" t="str">
        <f t="shared" si="221"/>
        <v>N/A</v>
      </c>
      <c r="BI108" s="185"/>
      <c r="BJ108" s="182">
        <f t="shared" si="28"/>
        <v>9</v>
      </c>
      <c r="BK108" s="164" t="str">
        <f t="shared" si="222"/>
        <v>N/A</v>
      </c>
      <c r="BL108" s="185"/>
      <c r="BO108" s="167"/>
      <c r="BP108" s="167"/>
      <c r="BQ108" s="167" t="str">
        <f t="shared" si="157"/>
        <v/>
      </c>
      <c r="BR108" s="167">
        <f t="shared" si="198"/>
        <v>9</v>
      </c>
      <c r="BS108" s="167">
        <f t="shared" si="199"/>
        <v>9</v>
      </c>
      <c r="BT108" s="167">
        <f t="shared" si="200"/>
        <v>9</v>
      </c>
      <c r="BW108" s="167" t="str">
        <f>D108</f>
        <v>Tra 05</v>
      </c>
      <c r="BX108" s="167" t="str">
        <f>IFERROR(VLOOKUP($E108,'Pre-Assessment Estimator'!$E$11:$AB$225,'Pre-Assessment Estimator'!AB$2,FALSE),"")</f>
        <v/>
      </c>
      <c r="BY108" s="167" t="str">
        <f>IFERROR(VLOOKUP($E108,'Pre-Assessment Estimator'!$E$11:$AI$225,'Pre-Assessment Estimator'!AI$2,FALSE),"")</f>
        <v/>
      </c>
      <c r="BZ108" s="167" t="str">
        <f t="shared" si="240"/>
        <v/>
      </c>
      <c r="CA108" s="167" t="str">
        <f t="shared" si="240"/>
        <v/>
      </c>
      <c r="CB108" s="167"/>
      <c r="CC108" s="96" t="str">
        <f t="shared" si="241"/>
        <v/>
      </c>
    </row>
    <row r="109" spans="1:81" ht="15.75" thickBot="1" x14ac:dyDescent="0.3">
      <c r="A109" s="96">
        <v>101</v>
      </c>
      <c r="D109" s="705" t="s">
        <v>315</v>
      </c>
      <c r="E109" s="706"/>
      <c r="F109" s="937"/>
      <c r="G109" s="937"/>
      <c r="H109" s="937"/>
      <c r="I109" s="937"/>
      <c r="J109" s="937"/>
      <c r="K109" s="937"/>
      <c r="L109" s="937"/>
      <c r="M109" s="937"/>
      <c r="N109" s="937"/>
      <c r="O109" s="937"/>
      <c r="P109" s="937"/>
      <c r="Q109" s="937"/>
      <c r="R109" s="937"/>
      <c r="T109" s="956"/>
      <c r="U109" s="703"/>
      <c r="V109" s="704"/>
      <c r="W109" s="704"/>
      <c r="X109" s="700"/>
      <c r="Y109" s="955"/>
      <c r="Z109" s="955"/>
      <c r="AA109" s="956"/>
      <c r="AB109" s="957"/>
      <c r="AD109" s="171">
        <f t="shared" si="213"/>
        <v>0</v>
      </c>
      <c r="AE109" s="960"/>
      <c r="AF109" s="960"/>
      <c r="AG109" s="960"/>
      <c r="AI109" s="720"/>
      <c r="AJ109" s="720"/>
      <c r="AK109" s="720"/>
      <c r="AM109" s="295"/>
      <c r="AN109" s="296"/>
      <c r="AO109" s="296"/>
      <c r="AP109" s="296"/>
      <c r="AQ109" s="297"/>
      <c r="AR109" s="139"/>
      <c r="AS109" s="295"/>
      <c r="AT109" s="296"/>
      <c r="AU109" s="296"/>
      <c r="AV109" s="296"/>
      <c r="AW109" s="297"/>
      <c r="AY109" s="194"/>
      <c r="AZ109" s="196"/>
      <c r="BA109" s="196"/>
      <c r="BB109" s="196"/>
      <c r="BC109" s="197"/>
      <c r="BD109" s="198">
        <f t="shared" ref="BD109" si="242">IF(BC109=0,9,IF(AI109&gt;=BC109,5,IF(AI109&gt;=BB109,4,IF(AI109&gt;=BA109,3,IF(AI109&gt;=AZ109,2,IF(AI109&lt;AY109,0,1))))))</f>
        <v>9</v>
      </c>
      <c r="BE109" s="164" t="str">
        <f t="shared" si="219"/>
        <v>N/A</v>
      </c>
      <c r="BF109" s="200"/>
      <c r="BG109" s="198">
        <f t="shared" si="220"/>
        <v>9</v>
      </c>
      <c r="BH109" s="164" t="str">
        <f t="shared" si="221"/>
        <v>N/A</v>
      </c>
      <c r="BI109" s="200"/>
      <c r="BJ109" s="198">
        <f t="shared" si="28"/>
        <v>9</v>
      </c>
      <c r="BK109" s="164" t="str">
        <f t="shared" si="222"/>
        <v>N/A</v>
      </c>
      <c r="BL109" s="200"/>
      <c r="BO109" s="167"/>
      <c r="BP109" s="167"/>
      <c r="BQ109" s="167" t="str">
        <f t="shared" si="157"/>
        <v/>
      </c>
      <c r="BR109" s="167">
        <f t="shared" si="198"/>
        <v>9</v>
      </c>
      <c r="BS109" s="167">
        <f t="shared" si="199"/>
        <v>9</v>
      </c>
      <c r="BT109" s="167">
        <f t="shared" si="200"/>
        <v>9</v>
      </c>
      <c r="BW109" s="314" t="str">
        <f>D109</f>
        <v>Tra 06</v>
      </c>
      <c r="BX109" s="314" t="str">
        <f>IFERROR(VLOOKUP($E109,'Pre-Assessment Estimator'!$E$11:$AB$225,'Pre-Assessment Estimator'!AB$2,FALSE),"")</f>
        <v/>
      </c>
      <c r="BY109" s="314" t="str">
        <f>IFERROR(VLOOKUP($E109,'Pre-Assessment Estimator'!$E$11:$AI$225,'Pre-Assessment Estimator'!AI$2,FALSE),"")</f>
        <v/>
      </c>
      <c r="BZ109" s="314" t="str">
        <f t="shared" si="240"/>
        <v/>
      </c>
      <c r="CA109" s="314" t="str">
        <f t="shared" si="240"/>
        <v/>
      </c>
      <c r="CB109" s="314"/>
      <c r="CC109" s="96" t="str">
        <f t="shared" si="241"/>
        <v/>
      </c>
    </row>
    <row r="110" spans="1:81" ht="15.75" thickBot="1" x14ac:dyDescent="0.3">
      <c r="A110" s="96">
        <v>102</v>
      </c>
      <c r="B110" s="96" t="s">
        <v>886</v>
      </c>
      <c r="D110" s="201"/>
      <c r="E110" s="202" t="s">
        <v>215</v>
      </c>
      <c r="F110" s="773">
        <f>F100+F103</f>
        <v>13</v>
      </c>
      <c r="G110" s="773">
        <f t="shared" ref="G110:R110" si="243">G100+G103</f>
        <v>13</v>
      </c>
      <c r="H110" s="773">
        <f t="shared" si="243"/>
        <v>13</v>
      </c>
      <c r="I110" s="773">
        <f t="shared" si="243"/>
        <v>13</v>
      </c>
      <c r="J110" s="773">
        <f t="shared" si="243"/>
        <v>13</v>
      </c>
      <c r="K110" s="773">
        <f t="shared" si="243"/>
        <v>13</v>
      </c>
      <c r="L110" s="773">
        <f t="shared" si="243"/>
        <v>13</v>
      </c>
      <c r="M110" s="773">
        <f t="shared" si="243"/>
        <v>13</v>
      </c>
      <c r="N110" s="773">
        <f t="shared" si="243"/>
        <v>13</v>
      </c>
      <c r="O110" s="773">
        <f t="shared" si="243"/>
        <v>13</v>
      </c>
      <c r="P110" s="773">
        <f t="shared" si="243"/>
        <v>13</v>
      </c>
      <c r="Q110" s="773">
        <f t="shared" ref="Q110" si="244">Q100+Q103</f>
        <v>13</v>
      </c>
      <c r="R110" s="773">
        <f t="shared" si="243"/>
        <v>13</v>
      </c>
      <c r="T110" s="226">
        <f>HLOOKUP($E$6,$F$9:$R$231,$A110,FALSE)</f>
        <v>13</v>
      </c>
      <c r="U110" s="204"/>
      <c r="V110" s="205"/>
      <c r="W110" s="205"/>
      <c r="X110" s="205"/>
      <c r="Y110" s="206"/>
      <c r="Z110" s="206"/>
      <c r="AA110" s="773">
        <f t="shared" ref="AA110:AG110" si="245">AA100+AA103</f>
        <v>0</v>
      </c>
      <c r="AB110" s="773">
        <f t="shared" si="245"/>
        <v>13</v>
      </c>
      <c r="AD110" s="208">
        <f t="shared" si="245"/>
        <v>0.1</v>
      </c>
      <c r="AE110" s="208">
        <f t="shared" si="245"/>
        <v>0</v>
      </c>
      <c r="AF110" s="208">
        <f t="shared" si="245"/>
        <v>0</v>
      </c>
      <c r="AG110" s="208">
        <f t="shared" si="245"/>
        <v>0</v>
      </c>
      <c r="AI110" s="78">
        <f t="shared" ref="AI110:AK110" si="246">AI100+AI103</f>
        <v>0</v>
      </c>
      <c r="AJ110" s="78">
        <f t="shared" si="246"/>
        <v>0</v>
      </c>
      <c r="AK110" s="78">
        <f t="shared" si="246"/>
        <v>0</v>
      </c>
      <c r="AM110" s="139"/>
      <c r="AN110" s="139"/>
      <c r="AO110" s="139"/>
      <c r="AP110" s="139"/>
      <c r="AQ110" s="139"/>
      <c r="AR110" s="139"/>
      <c r="AS110" s="139"/>
      <c r="AT110" s="139"/>
      <c r="AU110" s="139"/>
      <c r="AV110" s="139"/>
      <c r="AW110" s="139"/>
      <c r="AY110" s="97"/>
      <c r="AZ110" s="209"/>
      <c r="BA110" s="97"/>
      <c r="BB110" s="97"/>
      <c r="BC110" s="97"/>
      <c r="BW110" s="202"/>
      <c r="BX110" s="202" t="str">
        <f>IFERROR(VLOOKUP($E110,'Pre-Assessment Estimator'!$E$11:$AB$225,'Pre-Assessment Estimator'!AB$2,FALSE),"")</f>
        <v/>
      </c>
      <c r="BY110" s="202" t="str">
        <f>IFERROR(VLOOKUP($E110,'Pre-Assessment Estimator'!$E$11:$AI$225,'Pre-Assessment Estimator'!AI$2,FALSE),"")</f>
        <v/>
      </c>
      <c r="BZ110" s="202" t="str">
        <f t="shared" si="240"/>
        <v/>
      </c>
      <c r="CA110" s="202" t="str">
        <f t="shared" si="240"/>
        <v/>
      </c>
      <c r="CB110" s="202"/>
      <c r="CC110" s="96" t="str">
        <f t="shared" si="241"/>
        <v/>
      </c>
    </row>
    <row r="111" spans="1:81" ht="15.75" thickBot="1" x14ac:dyDescent="0.3">
      <c r="A111" s="96">
        <v>103</v>
      </c>
      <c r="AI111" s="3"/>
      <c r="AJ111" s="3"/>
      <c r="AK111" s="3"/>
      <c r="AM111" s="139"/>
      <c r="AN111" s="139"/>
      <c r="AO111" s="139"/>
      <c r="AP111" s="139"/>
      <c r="AQ111" s="139"/>
      <c r="AR111" s="139"/>
      <c r="AS111" s="139"/>
      <c r="AT111" s="139"/>
      <c r="AU111" s="139"/>
      <c r="AV111" s="139"/>
      <c r="AW111" s="139"/>
      <c r="AY111" s="97"/>
      <c r="AZ111" s="97"/>
      <c r="BA111" s="97"/>
      <c r="BB111" s="97"/>
      <c r="BC111" s="97"/>
      <c r="BX111" s="96" t="str">
        <f>IFERROR(VLOOKUP($E111,'Pre-Assessment Estimator'!$E$11:$AB$225,'Pre-Assessment Estimator'!AB$2,FALSE),"")</f>
        <v/>
      </c>
      <c r="BY111" s="96" t="str">
        <f>IFERROR(VLOOKUP($E111,'Pre-Assessment Estimator'!$E$11:$AI$225,'Pre-Assessment Estimator'!AI$2,FALSE),"")</f>
        <v/>
      </c>
      <c r="BZ111" s="96" t="str">
        <f t="shared" si="240"/>
        <v/>
      </c>
      <c r="CA111" s="96" t="str">
        <f t="shared" si="240"/>
        <v/>
      </c>
      <c r="CC111" s="96" t="str">
        <f t="shared" si="241"/>
        <v/>
      </c>
    </row>
    <row r="112" spans="1:81" ht="60.75" thickBot="1" x14ac:dyDescent="0.3">
      <c r="A112" s="96">
        <v>104</v>
      </c>
      <c r="D112" s="145"/>
      <c r="E112" s="146" t="s">
        <v>60</v>
      </c>
      <c r="F112" s="1243" t="str">
        <f>$F$9</f>
        <v>Office</v>
      </c>
      <c r="G112" s="1243" t="str">
        <f>$G$9</f>
        <v>Retail</v>
      </c>
      <c r="H112" s="1247" t="str">
        <f>$H$9</f>
        <v>Residential</v>
      </c>
      <c r="I112" s="1243" t="str">
        <f>$I$9</f>
        <v>Industrial</v>
      </c>
      <c r="J112" s="1245" t="str">
        <f>$J$9</f>
        <v>Healthcare</v>
      </c>
      <c r="K112" s="1245" t="str">
        <f>$K$9</f>
        <v>Prison</v>
      </c>
      <c r="L112" s="1245" t="str">
        <f>$L$9</f>
        <v>Law Court</v>
      </c>
      <c r="M112" s="1249" t="str">
        <f>$M$9</f>
        <v>Residential institution (long term stay)</v>
      </c>
      <c r="N112" s="918" t="str">
        <f>$N$9</f>
        <v>Residential institution (short term stay)</v>
      </c>
      <c r="O112" s="918" t="str">
        <f>$O$9</f>
        <v>Non-residential institution</v>
      </c>
      <c r="P112" s="918" t="str">
        <f>$P$9</f>
        <v>Assembly and leisure</v>
      </c>
      <c r="Q112" s="1245" t="str">
        <f>$Q$9</f>
        <v>Education</v>
      </c>
      <c r="R112" s="857" t="str">
        <f>$R$9</f>
        <v>Other</v>
      </c>
      <c r="T112" s="138" t="str">
        <f>$E$6</f>
        <v>Office</v>
      </c>
      <c r="U112" s="210"/>
      <c r="V112" s="211"/>
      <c r="W112" s="211"/>
      <c r="X112" s="211"/>
      <c r="Y112" s="1167" t="s">
        <v>413</v>
      </c>
      <c r="Z112" s="347" t="s">
        <v>336</v>
      </c>
      <c r="AA112" s="150" t="s">
        <v>215</v>
      </c>
      <c r="AB112" s="59" t="s">
        <v>15</v>
      </c>
      <c r="AI112" s="42"/>
      <c r="AJ112" s="60"/>
      <c r="AK112" s="60"/>
      <c r="AM112" s="139"/>
      <c r="AN112" s="139"/>
      <c r="AO112" s="139"/>
      <c r="AP112" s="139"/>
      <c r="AQ112" s="139"/>
      <c r="AR112" s="139"/>
      <c r="AS112" s="139"/>
      <c r="AT112" s="139"/>
      <c r="AU112" s="139"/>
      <c r="AV112" s="139"/>
      <c r="AW112" s="139"/>
      <c r="AY112" s="97"/>
      <c r="AZ112" s="97"/>
      <c r="BA112" s="97"/>
      <c r="BB112" s="97"/>
      <c r="BC112" s="97"/>
      <c r="BO112" s="60"/>
      <c r="BP112" s="60"/>
      <c r="BQ112" s="60"/>
      <c r="BR112" s="60"/>
      <c r="BS112" s="60"/>
      <c r="BT112" s="60"/>
      <c r="BW112" s="146"/>
      <c r="BX112" s="146" t="str">
        <f>E112</f>
        <v>Water</v>
      </c>
      <c r="BY112" s="146">
        <f>IFERROR(VLOOKUP($E112,'Pre-Assessment Estimator'!$E$11:$AI$225,'Pre-Assessment Estimator'!AI$2,FALSE),"")</f>
        <v>0</v>
      </c>
      <c r="BZ112" s="146" t="str">
        <f t="shared" si="240"/>
        <v/>
      </c>
      <c r="CA112" s="146" t="str">
        <f t="shared" si="240"/>
        <v/>
      </c>
      <c r="CB112" s="146"/>
      <c r="CC112" s="96" t="str">
        <f t="shared" si="241"/>
        <v/>
      </c>
    </row>
    <row r="113" spans="1:85" x14ac:dyDescent="0.25">
      <c r="A113" s="96">
        <v>105</v>
      </c>
      <c r="B113" s="137" t="str">
        <f>D113</f>
        <v>Wat 01</v>
      </c>
      <c r="C113" s="137" t="str">
        <f>B113</f>
        <v>Wat 01</v>
      </c>
      <c r="D113" s="833" t="s">
        <v>170</v>
      </c>
      <c r="E113" s="831" t="s">
        <v>153</v>
      </c>
      <c r="F113" s="933">
        <f>SUM(F114)</f>
        <v>5</v>
      </c>
      <c r="G113" s="933">
        <f t="shared" ref="G113:R113" si="247">SUM(G114)</f>
        <v>5</v>
      </c>
      <c r="H113" s="933">
        <f t="shared" si="247"/>
        <v>5</v>
      </c>
      <c r="I113" s="933">
        <f t="shared" si="247"/>
        <v>5</v>
      </c>
      <c r="J113" s="933">
        <f t="shared" si="247"/>
        <v>5</v>
      </c>
      <c r="K113" s="933">
        <f t="shared" si="247"/>
        <v>5</v>
      </c>
      <c r="L113" s="933">
        <f t="shared" si="247"/>
        <v>5</v>
      </c>
      <c r="M113" s="933">
        <f t="shared" si="247"/>
        <v>5</v>
      </c>
      <c r="N113" s="933">
        <f t="shared" si="247"/>
        <v>5</v>
      </c>
      <c r="O113" s="933">
        <f t="shared" si="247"/>
        <v>5</v>
      </c>
      <c r="P113" s="933">
        <f t="shared" si="247"/>
        <v>5</v>
      </c>
      <c r="Q113" s="933">
        <f t="shared" si="247"/>
        <v>5</v>
      </c>
      <c r="R113" s="933">
        <f t="shared" si="247"/>
        <v>5</v>
      </c>
      <c r="S113" s="97"/>
      <c r="T113" s="961">
        <f t="shared" ref="T113:T123" si="248">HLOOKUP($E$6,$F$9:$R$231,$A113,FALSE)</f>
        <v>5</v>
      </c>
      <c r="U113" s="222"/>
      <c r="V113" s="230"/>
      <c r="W113" s="230"/>
      <c r="X113" s="230">
        <f>'Manuell filtrering og justering'!E52</f>
        <v>0</v>
      </c>
      <c r="Y113" s="230"/>
      <c r="Z113" s="958">
        <f t="shared" ref="Z113" si="249">SUM(Z114)</f>
        <v>5</v>
      </c>
      <c r="AA113" s="963">
        <f t="shared" ref="AA113:AA122" si="250">IF(SUM(U113:Y113)&gt;T113,T113,SUM(U113:Y113))</f>
        <v>0</v>
      </c>
      <c r="AB113" s="920">
        <f>AB114</f>
        <v>5</v>
      </c>
      <c r="AD113" s="171">
        <f t="shared" ref="AD113:AD122" si="251">(Wat_Weight/Wat__Credits)*AB113</f>
        <v>2.2222222222222223E-2</v>
      </c>
      <c r="AE113" s="921">
        <f>SUM(AE114)</f>
        <v>0</v>
      </c>
      <c r="AF113" s="921">
        <f t="shared" ref="AF113:AG113" si="252">SUM(AF114)</f>
        <v>0</v>
      </c>
      <c r="AG113" s="921">
        <f t="shared" si="252"/>
        <v>0</v>
      </c>
      <c r="AI113" s="958">
        <f t="shared" ref="AI113" si="253">SUM(AI114)</f>
        <v>0</v>
      </c>
      <c r="AJ113" s="958">
        <f t="shared" ref="AJ113" si="254">SUM(AJ114)</f>
        <v>0</v>
      </c>
      <c r="AK113" s="958">
        <f t="shared" ref="AK113" si="255">SUM(AK114)</f>
        <v>0</v>
      </c>
      <c r="AM113" s="298"/>
      <c r="AN113" s="299"/>
      <c r="AO113" s="308"/>
      <c r="AP113" s="299"/>
      <c r="AQ113" s="300"/>
      <c r="AR113" s="139"/>
      <c r="AS113" s="298"/>
      <c r="AT113" s="299"/>
      <c r="AU113" s="299"/>
      <c r="AV113" s="299"/>
      <c r="AW113" s="300"/>
      <c r="AY113" s="218"/>
      <c r="AZ113" s="219"/>
      <c r="BA113" s="219"/>
      <c r="BB113" s="219"/>
      <c r="BC113" s="220"/>
      <c r="BD113" s="174">
        <f t="shared" si="60"/>
        <v>9</v>
      </c>
      <c r="BE113" s="164" t="str">
        <f t="shared" ref="BE113:BE122" si="256">VLOOKUP(BD113,$BO$283:$BT$289,6,FALSE)</f>
        <v>N/A</v>
      </c>
      <c r="BF113" s="178"/>
      <c r="BG113" s="174">
        <f>IF(BC113=0,9,IF(AJ113&gt;=BC113,5,IF(AJ113&gt;=BB113,4,IF(AJ113&gt;=BA113,3,IF(AJ113&gt;=AZ113,2,IF(AJ113&lt;AY113,0,1))))))</f>
        <v>9</v>
      </c>
      <c r="BH113" s="164" t="str">
        <f t="shared" ref="BH113:BH122" si="257">VLOOKUP(BG113,$BO$283:$BT$289,6,FALSE)</f>
        <v>N/A</v>
      </c>
      <c r="BI113" s="178"/>
      <c r="BJ113" s="174">
        <f t="shared" si="28"/>
        <v>9</v>
      </c>
      <c r="BK113" s="164" t="str">
        <f t="shared" ref="BK113:BK122" si="258">VLOOKUP(BJ113,$BO$283:$BT$289,6,FALSE)</f>
        <v>N/A</v>
      </c>
      <c r="BL113" s="178"/>
      <c r="BO113" s="167"/>
      <c r="BP113" s="167"/>
      <c r="BQ113" s="167" t="str">
        <f t="shared" si="157"/>
        <v/>
      </c>
      <c r="BR113" s="167">
        <f t="shared" si="198"/>
        <v>9</v>
      </c>
      <c r="BS113" s="167">
        <f t="shared" si="199"/>
        <v>9</v>
      </c>
      <c r="BT113" s="167">
        <f t="shared" si="200"/>
        <v>9</v>
      </c>
      <c r="BW113" s="164" t="str">
        <f>D113</f>
        <v>Wat 01</v>
      </c>
      <c r="BX113" s="164" t="str">
        <f>IFERROR(VLOOKUP($E113,'Pre-Assessment Estimator'!$E$11:$AB$225,'Pre-Assessment Estimator'!AB$2,FALSE),"")</f>
        <v>No</v>
      </c>
      <c r="BY113" s="164">
        <f>IFERROR(VLOOKUP($E113,'Pre-Assessment Estimator'!$E$11:$AI$225,'Pre-Assessment Estimator'!AI$2,FALSE),"")</f>
        <v>0</v>
      </c>
      <c r="BZ113" s="164">
        <f t="shared" si="240"/>
        <v>1</v>
      </c>
      <c r="CA113" s="164">
        <f t="shared" si="240"/>
        <v>0</v>
      </c>
      <c r="CB113" s="164"/>
      <c r="CC113" s="96" t="s">
        <v>431</v>
      </c>
    </row>
    <row r="114" spans="1:85" x14ac:dyDescent="0.25">
      <c r="A114" s="96">
        <v>106</v>
      </c>
      <c r="B114" s="96" t="str">
        <f t="shared" ref="B114" si="259">$D$113&amp;D114</f>
        <v>Wat 01a</v>
      </c>
      <c r="C114" s="96" t="str">
        <f t="shared" si="159"/>
        <v>Wat 01</v>
      </c>
      <c r="D114" s="163" t="s">
        <v>694</v>
      </c>
      <c r="E114" s="1124" t="s">
        <v>642</v>
      </c>
      <c r="F114" s="939">
        <v>5</v>
      </c>
      <c r="G114" s="939">
        <v>5</v>
      </c>
      <c r="H114" s="939">
        <v>5</v>
      </c>
      <c r="I114" s="939">
        <v>5</v>
      </c>
      <c r="J114" s="939">
        <v>5</v>
      </c>
      <c r="K114" s="939">
        <v>5</v>
      </c>
      <c r="L114" s="939">
        <v>5</v>
      </c>
      <c r="M114" s="939">
        <v>5</v>
      </c>
      <c r="N114" s="939">
        <v>5</v>
      </c>
      <c r="O114" s="939">
        <v>5</v>
      </c>
      <c r="P114" s="939">
        <v>5</v>
      </c>
      <c r="Q114" s="939">
        <v>5</v>
      </c>
      <c r="R114" s="939">
        <v>5</v>
      </c>
      <c r="S114" s="97"/>
      <c r="T114" s="221">
        <f t="shared" si="248"/>
        <v>5</v>
      </c>
      <c r="U114" s="166"/>
      <c r="V114" s="167"/>
      <c r="W114" s="167"/>
      <c r="X114" s="167"/>
      <c r="Y114" s="169">
        <f>IF($Y$4=$Y$6,T114,0)</f>
        <v>0</v>
      </c>
      <c r="Z114" s="168">
        <f>VLOOKUP(B114,'Manuell filtrering og justering'!$A$7:$H$253,'Manuell filtrering og justering'!$H$1,FALSE)</f>
        <v>5</v>
      </c>
      <c r="AA114" s="169">
        <f t="shared" si="250"/>
        <v>0</v>
      </c>
      <c r="AB114" s="170">
        <f>IF($AC$5='Manuell filtrering og justering'!$J$2,Z114,(T114-AA114))</f>
        <v>5</v>
      </c>
      <c r="AD114" s="171">
        <f t="shared" si="251"/>
        <v>2.2222222222222223E-2</v>
      </c>
      <c r="AE114" s="171">
        <f t="shared" ref="AE114:AE122" si="260">IF(AB114=0,0,(AD114/AB114)*AI114)</f>
        <v>0</v>
      </c>
      <c r="AF114" s="171">
        <f t="shared" ref="AF114:AF122" si="261">IF(AB114=0,0,(AD114/AB114)*AJ114)</f>
        <v>0</v>
      </c>
      <c r="AG114" s="171">
        <f t="shared" ref="AG114:AG122" si="262">IF(AB114=0,0,(AD114/AB114)*AK114)</f>
        <v>0</v>
      </c>
      <c r="AI114" s="172">
        <f>IF(VLOOKUP(E114,'Pre-Assessment Estimator'!$E$11:$Z$225,'Pre-Assessment Estimator'!$G$2,FALSE)&gt;AB114,AB114,VLOOKUP(E114,'Pre-Assessment Estimator'!$E$11:$Z$225,'Pre-Assessment Estimator'!$G$2,FALSE))</f>
        <v>0</v>
      </c>
      <c r="AJ114" s="172">
        <f>IF(VLOOKUP(E114,'Pre-Assessment Estimator'!$E$11:$Z$225,'Pre-Assessment Estimator'!$N$2,FALSE)&gt;AB114,AB114,VLOOKUP(E114,'Pre-Assessment Estimator'!$E$11:$Z$225,'Pre-Assessment Estimator'!$N$2,FALSE))</f>
        <v>0</v>
      </c>
      <c r="AK114" s="172">
        <f>IF(VLOOKUP(E114,'Pre-Assessment Estimator'!$E$11:$Z$225,'Pre-Assessment Estimator'!$U$2,FALSE)&gt;AB114,AB114,VLOOKUP(E114,'Pre-Assessment Estimator'!$E$11:$Z$225,'Pre-Assessment Estimator'!$U$2,FALSE))</f>
        <v>0</v>
      </c>
      <c r="AM114" s="835"/>
      <c r="AN114" s="836"/>
      <c r="AO114" s="849"/>
      <c r="AP114" s="1191">
        <f>IF(AND($Y$4&lt;&gt;$Y$3,Y114&gt;0),0,2)</f>
        <v>2</v>
      </c>
      <c r="AQ114" s="1193">
        <f>IF(AND($Y$4&lt;&gt;$Y$3,Y114&gt;0),0,2)</f>
        <v>2</v>
      </c>
      <c r="AR114" s="139"/>
      <c r="AS114" s="835"/>
      <c r="AT114" s="836"/>
      <c r="AU114" s="836"/>
      <c r="AV114" s="836">
        <v>2</v>
      </c>
      <c r="AW114" s="837">
        <v>2</v>
      </c>
      <c r="AY114" s="708"/>
      <c r="AZ114" s="709"/>
      <c r="BA114" s="709"/>
      <c r="BB114" s="183">
        <f>IF($AB114=0,0,IF($E$6=$H$9,AV114,AP114))</f>
        <v>2</v>
      </c>
      <c r="BC114" s="183">
        <f>IF($AB114=0,0,IF($E$6=$H$9,AW114,AQ114))</f>
        <v>2</v>
      </c>
      <c r="BD114" s="182">
        <f t="shared" ref="BD114" si="263">IF(BC114=0,9,IF(AI114&gt;=BC114,5,IF(AI114&gt;=BB114,4,IF(AI114&gt;=BA114,3,IF(AI114&gt;=AZ114,2,IF(AI114&lt;AY114,0,1))))))</f>
        <v>3</v>
      </c>
      <c r="BE114" s="164" t="str">
        <f t="shared" si="256"/>
        <v>Very Good</v>
      </c>
      <c r="BF114" s="185"/>
      <c r="BG114" s="182">
        <f>IF(BC114=0,9,IF(AJ114&gt;=BC114,5,IF(AJ114&gt;=BB114,4,IF(AJ114&gt;=BA114,3,IF(AJ114&gt;=AZ114,2,IF(AJ114&lt;AY114,0,1))))))</f>
        <v>3</v>
      </c>
      <c r="BH114" s="164" t="str">
        <f t="shared" si="257"/>
        <v>Very Good</v>
      </c>
      <c r="BI114" s="185"/>
      <c r="BJ114" s="182">
        <f t="shared" ref="BJ114" si="264">IF(BC114=0,9,IF(AK114&gt;=BC114,5,IF(AK114&gt;=BB114,4,IF(AK114&gt;=BA114,3,IF(AK114&gt;=AZ114,2,IF(AK114&lt;AY114,0,1))))))</f>
        <v>3</v>
      </c>
      <c r="BK114" s="164" t="str">
        <f t="shared" si="258"/>
        <v>Very Good</v>
      </c>
      <c r="BL114" s="830"/>
      <c r="BO114" s="167"/>
      <c r="BP114" s="1183">
        <f>2*0</f>
        <v>0</v>
      </c>
      <c r="BQ114" s="167">
        <f t="shared" si="157"/>
        <v>0</v>
      </c>
      <c r="BR114" s="167">
        <f t="shared" si="198"/>
        <v>5</v>
      </c>
      <c r="BS114" s="167">
        <f t="shared" si="199"/>
        <v>5</v>
      </c>
      <c r="BT114" s="167">
        <f t="shared" si="200"/>
        <v>5</v>
      </c>
      <c r="BW114" s="164"/>
      <c r="BX114" s="164"/>
      <c r="BY114" s="164"/>
      <c r="BZ114" s="164"/>
      <c r="CA114" s="99"/>
      <c r="CB114" s="164"/>
    </row>
    <row r="115" spans="1:85" x14ac:dyDescent="0.25">
      <c r="A115" s="96">
        <v>107</v>
      </c>
      <c r="B115" s="137" t="str">
        <f>D115</f>
        <v>Wat 02</v>
      </c>
      <c r="C115" s="137" t="str">
        <f>B115</f>
        <v>Wat 02</v>
      </c>
      <c r="D115" s="834" t="s">
        <v>171</v>
      </c>
      <c r="E115" s="832" t="s">
        <v>154</v>
      </c>
      <c r="F115" s="933">
        <f>SUM(F116)</f>
        <v>1</v>
      </c>
      <c r="G115" s="933">
        <f t="shared" ref="G115:R115" si="265">SUM(G116)</f>
        <v>1</v>
      </c>
      <c r="H115" s="933">
        <f t="shared" si="265"/>
        <v>1</v>
      </c>
      <c r="I115" s="933">
        <f t="shared" si="265"/>
        <v>1</v>
      </c>
      <c r="J115" s="933">
        <f t="shared" si="265"/>
        <v>1</v>
      </c>
      <c r="K115" s="933">
        <f t="shared" si="265"/>
        <v>1</v>
      </c>
      <c r="L115" s="933">
        <f t="shared" si="265"/>
        <v>1</v>
      </c>
      <c r="M115" s="933">
        <f t="shared" si="265"/>
        <v>1</v>
      </c>
      <c r="N115" s="933">
        <f t="shared" si="265"/>
        <v>1</v>
      </c>
      <c r="O115" s="933">
        <f t="shared" si="265"/>
        <v>1</v>
      </c>
      <c r="P115" s="933">
        <f t="shared" si="265"/>
        <v>1</v>
      </c>
      <c r="Q115" s="933">
        <f t="shared" si="265"/>
        <v>1</v>
      </c>
      <c r="R115" s="933">
        <f t="shared" si="265"/>
        <v>1</v>
      </c>
      <c r="T115" s="963">
        <f t="shared" si="248"/>
        <v>1</v>
      </c>
      <c r="U115" s="222"/>
      <c r="V115" s="230"/>
      <c r="W115" s="230"/>
      <c r="X115" s="230">
        <f>'Manuell filtrering og justering'!E53</f>
        <v>0</v>
      </c>
      <c r="Y115" s="230"/>
      <c r="Z115" s="958">
        <f t="shared" ref="Z115" si="266">SUM(Z116)</f>
        <v>1</v>
      </c>
      <c r="AA115" s="963">
        <f t="shared" si="250"/>
        <v>0</v>
      </c>
      <c r="AB115" s="920">
        <f>AB116</f>
        <v>1</v>
      </c>
      <c r="AD115" s="171">
        <f t="shared" si="251"/>
        <v>4.4444444444444444E-3</v>
      </c>
      <c r="AE115" s="921">
        <f>SUM(AE116)</f>
        <v>0</v>
      </c>
      <c r="AF115" s="921">
        <f t="shared" ref="AF115:AG115" si="267">SUM(AF116)</f>
        <v>0</v>
      </c>
      <c r="AG115" s="921">
        <f t="shared" si="267"/>
        <v>0</v>
      </c>
      <c r="AI115" s="958">
        <f t="shared" ref="AI115" si="268">SUM(AI116)</f>
        <v>0</v>
      </c>
      <c r="AJ115" s="958">
        <f t="shared" ref="AJ115" si="269">SUM(AJ116)</f>
        <v>0</v>
      </c>
      <c r="AK115" s="958">
        <f t="shared" ref="AK115" si="270">SUM(AK116)</f>
        <v>0</v>
      </c>
      <c r="AL115" s="96" t="s">
        <v>427</v>
      </c>
      <c r="AM115" s="292"/>
      <c r="AN115" s="293"/>
      <c r="AO115" s="293"/>
      <c r="AP115" s="293"/>
      <c r="AQ115" s="294"/>
      <c r="AR115" s="139"/>
      <c r="AS115" s="292"/>
      <c r="AT115" s="293"/>
      <c r="AU115" s="293"/>
      <c r="AV115" s="293"/>
      <c r="AW115" s="294"/>
      <c r="AY115" s="188"/>
      <c r="AZ115" s="189"/>
      <c r="BA115" s="189"/>
      <c r="BB115" s="189"/>
      <c r="BC115" s="190"/>
      <c r="BD115" s="182">
        <f t="shared" si="60"/>
        <v>9</v>
      </c>
      <c r="BE115" s="164" t="str">
        <f t="shared" si="256"/>
        <v>N/A</v>
      </c>
      <c r="BF115" s="185"/>
      <c r="BG115" s="182">
        <f>IF(BC115=0,9,IF(AJ115&gt;=BC115,5,IF(AJ115&gt;=BB115,4,IF(AJ115&gt;=BA115,3,IF(AJ115&gt;=AZ115,2,IF(AJ115&lt;AY115,0,1))))))</f>
        <v>9</v>
      </c>
      <c r="BH115" s="164" t="str">
        <f t="shared" si="257"/>
        <v>N/A</v>
      </c>
      <c r="BI115" s="185"/>
      <c r="BJ115" s="182">
        <f t="shared" si="28"/>
        <v>9</v>
      </c>
      <c r="BK115" s="164" t="str">
        <f t="shared" si="258"/>
        <v>N/A</v>
      </c>
      <c r="BL115" s="185"/>
      <c r="BO115" s="167"/>
      <c r="BP115" s="167"/>
      <c r="BQ115" s="167" t="str">
        <f t="shared" si="157"/>
        <v/>
      </c>
      <c r="BR115" s="167">
        <f t="shared" si="198"/>
        <v>9</v>
      </c>
      <c r="BS115" s="167">
        <f t="shared" si="199"/>
        <v>9</v>
      </c>
      <c r="BT115" s="167">
        <f t="shared" si="200"/>
        <v>9</v>
      </c>
      <c r="BW115" s="167" t="str">
        <f>D115</f>
        <v>Wat 02</v>
      </c>
      <c r="BX115" s="167" t="str">
        <f>IFERROR(VLOOKUP($E115,'Pre-Assessment Estimator'!$E$11:$AB$225,'Pre-Assessment Estimator'!AB$2,FALSE),"")</f>
        <v>No</v>
      </c>
      <c r="BY115" s="230" t="str">
        <f>IFERROR(VLOOKUP($E115,'Pre-Assessment Estimator'!$E$11:$AI$225,'Pre-Assessment Estimator'!AI$2,FALSE),"")</f>
        <v>Ja</v>
      </c>
      <c r="BZ115" s="167">
        <f>IFERROR(VLOOKUP($BX115,$E$292:$H$325,F$290,FALSE),"")</f>
        <v>1</v>
      </c>
      <c r="CA115" s="680" t="s">
        <v>432</v>
      </c>
      <c r="CB115" s="167"/>
      <c r="CC115" s="96" t="str">
        <f>IFERROR(VLOOKUP($BX115,$E$292:$H$325,I$290,FALSE),"")</f>
        <v/>
      </c>
      <c r="CD115" s="96" t="s">
        <v>438</v>
      </c>
      <c r="CE115" s="167">
        <f>VLOOKUP(CA115,$CA$4:$CB$5,2,FALSE)</f>
        <v>1</v>
      </c>
      <c r="CG115" s="681">
        <f>IF($BX$5=ais_nei,CE115,IF(AND(CA115=$CA$4,BX115=$CC$4),0,BZ115))</f>
        <v>1</v>
      </c>
    </row>
    <row r="116" spans="1:85" x14ac:dyDescent="0.25">
      <c r="A116" s="96">
        <v>108</v>
      </c>
      <c r="B116" s="96" t="str">
        <f t="shared" ref="B116" si="271">$D$115&amp;D116</f>
        <v>Wat 02a</v>
      </c>
      <c r="C116" s="96" t="str">
        <f t="shared" si="159"/>
        <v>Wat 02</v>
      </c>
      <c r="D116" s="166" t="s">
        <v>694</v>
      </c>
      <c r="E116" s="1124" t="s">
        <v>643</v>
      </c>
      <c r="F116" s="775">
        <v>1</v>
      </c>
      <c r="G116" s="775">
        <v>1</v>
      </c>
      <c r="H116" s="775">
        <v>1</v>
      </c>
      <c r="I116" s="775">
        <v>1</v>
      </c>
      <c r="J116" s="775">
        <v>1</v>
      </c>
      <c r="K116" s="775">
        <v>1</v>
      </c>
      <c r="L116" s="775">
        <v>1</v>
      </c>
      <c r="M116" s="775">
        <v>1</v>
      </c>
      <c r="N116" s="775">
        <v>1</v>
      </c>
      <c r="O116" s="775">
        <v>1</v>
      </c>
      <c r="P116" s="775">
        <v>1</v>
      </c>
      <c r="Q116" s="775">
        <v>1</v>
      </c>
      <c r="R116" s="775">
        <v>1</v>
      </c>
      <c r="T116" s="221">
        <f t="shared" si="248"/>
        <v>1</v>
      </c>
      <c r="U116" s="166"/>
      <c r="V116" s="167"/>
      <c r="W116" s="167"/>
      <c r="X116" s="167"/>
      <c r="Y116" s="168"/>
      <c r="Z116" s="168">
        <f>VLOOKUP(B116,'Manuell filtrering og justering'!$A$7:$H$253,'Manuell filtrering og justering'!$H$1,FALSE)</f>
        <v>1</v>
      </c>
      <c r="AA116" s="169">
        <f t="shared" si="250"/>
        <v>0</v>
      </c>
      <c r="AB116" s="170">
        <f>IF($AC$5='Manuell filtrering og justering'!$J$2,Z116,(T116-AA116))</f>
        <v>1</v>
      </c>
      <c r="AD116" s="171">
        <f t="shared" si="251"/>
        <v>4.4444444444444444E-3</v>
      </c>
      <c r="AE116" s="171">
        <f t="shared" si="260"/>
        <v>0</v>
      </c>
      <c r="AF116" s="171">
        <f t="shared" si="261"/>
        <v>0</v>
      </c>
      <c r="AG116" s="171">
        <f t="shared" si="262"/>
        <v>0</v>
      </c>
      <c r="AI116" s="172">
        <f>IF(VLOOKUP(E116,'Pre-Assessment Estimator'!$E$11:$Z$225,'Pre-Assessment Estimator'!$G$2,FALSE)&gt;AB116,AB116,VLOOKUP(E116,'Pre-Assessment Estimator'!$E$11:$Z$225,'Pre-Assessment Estimator'!$G$2,FALSE))</f>
        <v>0</v>
      </c>
      <c r="AJ116" s="172">
        <f>IF(VLOOKUP(E116,'Pre-Assessment Estimator'!$E$11:$Z$225,'Pre-Assessment Estimator'!$N$2,FALSE)&gt;AB116,AB116,VLOOKUP(E116,'Pre-Assessment Estimator'!$E$11:$Z$225,'Pre-Assessment Estimator'!$N$2,FALSE))</f>
        <v>0</v>
      </c>
      <c r="AK116" s="172">
        <f>IF(VLOOKUP(E116,'Pre-Assessment Estimator'!$E$11:$Z$225,'Pre-Assessment Estimator'!$U$2,FALSE)&gt;AB116,AB116,VLOOKUP(E116,'Pre-Assessment Estimator'!$E$11:$Z$225,'Pre-Assessment Estimator'!$U$2,FALSE))</f>
        <v>0</v>
      </c>
      <c r="AM116" s="292"/>
      <c r="AN116" s="293"/>
      <c r="AO116" s="293"/>
      <c r="AP116" s="293"/>
      <c r="AQ116" s="294"/>
      <c r="AR116" s="139"/>
      <c r="AS116" s="292"/>
      <c r="AT116" s="293"/>
      <c r="AU116" s="293"/>
      <c r="AV116" s="293"/>
      <c r="AW116" s="294"/>
      <c r="AY116" s="188"/>
      <c r="AZ116" s="189"/>
      <c r="BA116" s="189"/>
      <c r="BB116" s="189"/>
      <c r="BC116" s="190"/>
      <c r="BD116" s="182">
        <f t="shared" si="60"/>
        <v>9</v>
      </c>
      <c r="BE116" s="164" t="str">
        <f t="shared" si="256"/>
        <v>N/A</v>
      </c>
      <c r="BF116" s="185"/>
      <c r="BG116" s="182">
        <f t="shared" ref="BG116:BG120" si="272">IF(BC116=0,9,IF(AJ116&gt;=BC116,5,IF(AJ116&gt;=BB116,4,IF(AJ116&gt;=BA116,3,IF(AJ116&gt;=AZ116,2,IF(AJ116&lt;AY116,0,1))))))</f>
        <v>9</v>
      </c>
      <c r="BH116" s="164" t="str">
        <f t="shared" si="257"/>
        <v>N/A</v>
      </c>
      <c r="BI116" s="185"/>
      <c r="BJ116" s="182">
        <f t="shared" si="28"/>
        <v>9</v>
      </c>
      <c r="BK116" s="164" t="str">
        <f t="shared" si="258"/>
        <v>N/A</v>
      </c>
      <c r="BL116" s="185"/>
      <c r="BO116" s="167"/>
      <c r="BP116" s="167"/>
      <c r="BQ116" s="167" t="str">
        <f t="shared" si="157"/>
        <v/>
      </c>
      <c r="BR116" s="167">
        <f t="shared" si="198"/>
        <v>9</v>
      </c>
      <c r="BS116" s="167">
        <f t="shared" si="199"/>
        <v>9</v>
      </c>
      <c r="BT116" s="167">
        <f t="shared" si="200"/>
        <v>9</v>
      </c>
      <c r="BW116" s="167"/>
      <c r="BX116" s="167"/>
      <c r="BY116" s="230"/>
      <c r="BZ116" s="167"/>
      <c r="CA116" s="680"/>
      <c r="CB116" s="167"/>
      <c r="CE116" s="167"/>
      <c r="CG116" s="681"/>
    </row>
    <row r="117" spans="1:85" x14ac:dyDescent="0.25">
      <c r="A117" s="96">
        <v>109</v>
      </c>
      <c r="B117" s="137" t="str">
        <f>D117</f>
        <v>Wat 03</v>
      </c>
      <c r="C117" s="137" t="str">
        <f>B117</f>
        <v>Wat 03</v>
      </c>
      <c r="D117" s="834" t="s">
        <v>172</v>
      </c>
      <c r="E117" s="832" t="s">
        <v>155</v>
      </c>
      <c r="F117" s="933">
        <f>SUM(F118:F120)</f>
        <v>2</v>
      </c>
      <c r="G117" s="933">
        <f t="shared" ref="G117:R117" si="273">SUM(G118:G120)</f>
        <v>2</v>
      </c>
      <c r="H117" s="933">
        <f t="shared" si="273"/>
        <v>2</v>
      </c>
      <c r="I117" s="933">
        <f t="shared" si="273"/>
        <v>2</v>
      </c>
      <c r="J117" s="933">
        <f t="shared" si="273"/>
        <v>2</v>
      </c>
      <c r="K117" s="933">
        <f t="shared" si="273"/>
        <v>2</v>
      </c>
      <c r="L117" s="933">
        <f t="shared" si="273"/>
        <v>2</v>
      </c>
      <c r="M117" s="933">
        <f t="shared" si="273"/>
        <v>2</v>
      </c>
      <c r="N117" s="933">
        <f t="shared" si="273"/>
        <v>2</v>
      </c>
      <c r="O117" s="933">
        <f t="shared" si="273"/>
        <v>2</v>
      </c>
      <c r="P117" s="933">
        <f t="shared" si="273"/>
        <v>2</v>
      </c>
      <c r="Q117" s="933">
        <f t="shared" ref="Q117" si="274">SUM(Q118:Q120)</f>
        <v>2</v>
      </c>
      <c r="R117" s="933">
        <f t="shared" si="273"/>
        <v>2</v>
      </c>
      <c r="T117" s="963">
        <f t="shared" si="248"/>
        <v>2</v>
      </c>
      <c r="U117" s="222"/>
      <c r="V117" s="230"/>
      <c r="W117" s="230"/>
      <c r="X117" s="230">
        <f>'Manuell filtrering og justering'!E54</f>
        <v>0</v>
      </c>
      <c r="Y117" s="230"/>
      <c r="Z117" s="958">
        <f t="shared" ref="Z117" si="275">SUM(Z118:Z120)</f>
        <v>0</v>
      </c>
      <c r="AA117" s="963">
        <f t="shared" si="250"/>
        <v>0</v>
      </c>
      <c r="AB117" s="1067">
        <f>SUM(AB118:AB120)</f>
        <v>2</v>
      </c>
      <c r="AD117" s="171">
        <f t="shared" si="251"/>
        <v>8.8888888888888889E-3</v>
      </c>
      <c r="AE117" s="921">
        <f>SUM(AE118:AE120)</f>
        <v>0</v>
      </c>
      <c r="AF117" s="921">
        <f t="shared" ref="AF117:AG117" si="276">SUM(AF118:AF120)</f>
        <v>0</v>
      </c>
      <c r="AG117" s="921">
        <f t="shared" si="276"/>
        <v>0</v>
      </c>
      <c r="AI117" s="958">
        <f t="shared" ref="AI117" si="277">SUM(AI118:AI120)</f>
        <v>0</v>
      </c>
      <c r="AJ117" s="958">
        <f t="shared" ref="AJ117" si="278">SUM(AJ118:AJ120)</f>
        <v>0</v>
      </c>
      <c r="AK117" s="958">
        <f t="shared" ref="AK117" si="279">SUM(AK118:AK120)</f>
        <v>0</v>
      </c>
      <c r="AL117" s="96" t="s">
        <v>427</v>
      </c>
      <c r="AM117" s="292"/>
      <c r="AN117" s="293"/>
      <c r="AO117" s="293"/>
      <c r="AP117" s="293"/>
      <c r="AQ117" s="294"/>
      <c r="AR117" s="139"/>
      <c r="AS117" s="292"/>
      <c r="AT117" s="293"/>
      <c r="AU117" s="293"/>
      <c r="AV117" s="293"/>
      <c r="AW117" s="294"/>
      <c r="AY117" s="188"/>
      <c r="AZ117" s="189"/>
      <c r="BA117" s="189"/>
      <c r="BB117" s="189"/>
      <c r="BC117" s="190"/>
      <c r="BD117" s="182">
        <f t="shared" ref="BD117:BD120" si="280">IF(BC117=0,9,IF(AI117&gt;=BC117,5,IF(AI117&gt;=BB117,4,IF(AI117&gt;=BA117,3,IF(AI117&gt;=AZ117,2,IF(AI117&lt;AY117,0,1))))))</f>
        <v>9</v>
      </c>
      <c r="BE117" s="164" t="str">
        <f t="shared" si="256"/>
        <v>N/A</v>
      </c>
      <c r="BF117" s="185"/>
      <c r="BG117" s="182">
        <f t="shared" si="272"/>
        <v>9</v>
      </c>
      <c r="BH117" s="164" t="str">
        <f t="shared" si="257"/>
        <v>N/A</v>
      </c>
      <c r="BI117" s="185"/>
      <c r="BJ117" s="182">
        <f t="shared" ref="BJ117:BJ120" si="281">IF(BC117=0,9,IF(AK117&gt;=BC117,5,IF(AK117&gt;=BB117,4,IF(AK117&gt;=BA117,3,IF(AK117&gt;=AZ117,2,IF(AK117&lt;AY117,0,1))))))</f>
        <v>9</v>
      </c>
      <c r="BK117" s="164" t="str">
        <f t="shared" si="258"/>
        <v>N/A</v>
      </c>
      <c r="BL117" s="185"/>
      <c r="BO117" s="167"/>
      <c r="BP117" s="167"/>
      <c r="BQ117" s="167" t="str">
        <f t="shared" si="157"/>
        <v/>
      </c>
      <c r="BR117" s="167">
        <f t="shared" si="198"/>
        <v>9</v>
      </c>
      <c r="BS117" s="167">
        <f t="shared" si="199"/>
        <v>9</v>
      </c>
      <c r="BT117" s="167">
        <f t="shared" si="200"/>
        <v>9</v>
      </c>
      <c r="BW117" s="167" t="str">
        <f>D117</f>
        <v>Wat 03</v>
      </c>
      <c r="BX117" s="167" t="str">
        <f>IFERROR(VLOOKUP($E117,'Pre-Assessment Estimator'!$E$11:$AB$225,'Pre-Assessment Estimator'!AB$2,FALSE),"")</f>
        <v>No</v>
      </c>
      <c r="BY117" s="230" t="str">
        <f>IFERROR(VLOOKUP($E117,'Pre-Assessment Estimator'!$E$11:$AI$225,'Pre-Assessment Estimator'!AI$2,FALSE),"")</f>
        <v>Ja</v>
      </c>
      <c r="BZ117" s="167">
        <f>IFERROR(VLOOKUP($BX117,$E$292:$H$325,F$290,FALSE),"")</f>
        <v>1</v>
      </c>
      <c r="CA117" s="672" t="s">
        <v>430</v>
      </c>
      <c r="CB117" s="167">
        <f>H311</f>
        <v>1</v>
      </c>
      <c r="CC117" s="96" t="str">
        <f>IFERROR(VLOOKUP($BX117,$E$292:$H$325,I$290,FALSE),"")</f>
        <v/>
      </c>
      <c r="CD117" s="96" t="s">
        <v>405</v>
      </c>
      <c r="CE117" s="167">
        <f>VLOOKUP(CA117,$CA$4:$CB$5,2,FALSE)</f>
        <v>0</v>
      </c>
      <c r="CG117" s="681">
        <f>IF($BX$5=ais_nei,CE117,IF(AND(CA117=$CA$4,BX117=$CC$4),0,BZ117))</f>
        <v>0</v>
      </c>
    </row>
    <row r="118" spans="1:85" x14ac:dyDescent="0.25">
      <c r="A118" s="96">
        <v>110</v>
      </c>
      <c r="B118" s="96" t="str">
        <f t="shared" ref="B118:B120" si="282">$D$117&amp;D118</f>
        <v>Wat 03a</v>
      </c>
      <c r="C118" s="96" t="str">
        <f t="shared" si="159"/>
        <v>Wat 03</v>
      </c>
      <c r="D118" s="163" t="s">
        <v>694</v>
      </c>
      <c r="E118" s="1124" t="s">
        <v>644</v>
      </c>
      <c r="F118" s="775">
        <v>1</v>
      </c>
      <c r="G118" s="775">
        <v>1</v>
      </c>
      <c r="H118" s="775">
        <v>1</v>
      </c>
      <c r="I118" s="775">
        <v>1</v>
      </c>
      <c r="J118" s="775">
        <v>1</v>
      </c>
      <c r="K118" s="775">
        <v>1</v>
      </c>
      <c r="L118" s="775">
        <v>1</v>
      </c>
      <c r="M118" s="775">
        <v>1</v>
      </c>
      <c r="N118" s="775">
        <v>1</v>
      </c>
      <c r="O118" s="775">
        <v>1</v>
      </c>
      <c r="P118" s="775">
        <v>1</v>
      </c>
      <c r="Q118" s="775">
        <v>1</v>
      </c>
      <c r="R118" s="775">
        <v>1</v>
      </c>
      <c r="S118" s="97"/>
      <c r="T118" s="221">
        <f t="shared" si="248"/>
        <v>1</v>
      </c>
      <c r="U118" s="166"/>
      <c r="V118" s="167"/>
      <c r="W118" s="167"/>
      <c r="X118" s="167"/>
      <c r="Y118" s="168"/>
      <c r="Z118" s="168">
        <f>VLOOKUP(B118,'Manuell filtrering og justering'!$A$7:$H$253,'Manuell filtrering og justering'!$H$1,FALSE)</f>
        <v>0</v>
      </c>
      <c r="AA118" s="169">
        <f t="shared" si="250"/>
        <v>0</v>
      </c>
      <c r="AB118" s="170">
        <f>IF($AC$5='Manuell filtrering og justering'!$J$2,Z118,(T118-AA118))</f>
        <v>1</v>
      </c>
      <c r="AD118" s="171">
        <f t="shared" si="251"/>
        <v>4.4444444444444444E-3</v>
      </c>
      <c r="AE118" s="171">
        <f t="shared" si="260"/>
        <v>0</v>
      </c>
      <c r="AF118" s="171">
        <f t="shared" si="261"/>
        <v>0</v>
      </c>
      <c r="AG118" s="171">
        <f t="shared" si="262"/>
        <v>0</v>
      </c>
      <c r="AI118" s="172">
        <f>IF(VLOOKUP(E118,'Pre-Assessment Estimator'!$E$11:$Z$225,'Pre-Assessment Estimator'!$G$2,FALSE)&gt;AB118,AB118,VLOOKUP(E118,'Pre-Assessment Estimator'!$E$11:$Z$225,'Pre-Assessment Estimator'!$G$2,FALSE))</f>
        <v>0</v>
      </c>
      <c r="AJ118" s="172">
        <f>IF(VLOOKUP(E118,'Pre-Assessment Estimator'!$E$11:$Z$225,'Pre-Assessment Estimator'!$N$2,FALSE)&gt;AB118,AB118,VLOOKUP(E118,'Pre-Assessment Estimator'!$E$11:$Z$225,'Pre-Assessment Estimator'!$N$2,FALSE))</f>
        <v>0</v>
      </c>
      <c r="AK118" s="172">
        <f>IF(VLOOKUP(E118,'Pre-Assessment Estimator'!$E$11:$Z$225,'Pre-Assessment Estimator'!$U$2,FALSE)&gt;AB118,AB118,VLOOKUP(E118,'Pre-Assessment Estimator'!$E$11:$Z$225,'Pre-Assessment Estimator'!$U$2,FALSE))</f>
        <v>0</v>
      </c>
      <c r="AM118" s="850"/>
      <c r="AN118" s="851"/>
      <c r="AO118" s="851"/>
      <c r="AP118" s="851"/>
      <c r="AQ118" s="843"/>
      <c r="AR118" s="139"/>
      <c r="AS118" s="850"/>
      <c r="AT118" s="851"/>
      <c r="AU118" s="851"/>
      <c r="AV118" s="851"/>
      <c r="AW118" s="843"/>
      <c r="AY118" s="731"/>
      <c r="AZ118" s="733"/>
      <c r="BA118" s="733"/>
      <c r="BB118" s="733"/>
      <c r="BC118" s="852"/>
      <c r="BD118" s="182">
        <f t="shared" si="280"/>
        <v>9</v>
      </c>
      <c r="BE118" s="164" t="str">
        <f t="shared" si="256"/>
        <v>N/A</v>
      </c>
      <c r="BF118" s="185"/>
      <c r="BG118" s="182">
        <f t="shared" si="272"/>
        <v>9</v>
      </c>
      <c r="BH118" s="164" t="str">
        <f t="shared" si="257"/>
        <v>N/A</v>
      </c>
      <c r="BI118" s="185"/>
      <c r="BJ118" s="182">
        <f t="shared" si="281"/>
        <v>9</v>
      </c>
      <c r="BK118" s="164" t="str">
        <f t="shared" si="258"/>
        <v>N/A</v>
      </c>
      <c r="BL118" s="847"/>
      <c r="BO118" s="167"/>
      <c r="BP118" s="167"/>
      <c r="BQ118" s="167" t="str">
        <f t="shared" si="157"/>
        <v/>
      </c>
      <c r="BR118" s="167">
        <f t="shared" si="198"/>
        <v>9</v>
      </c>
      <c r="BS118" s="167">
        <f t="shared" si="199"/>
        <v>9</v>
      </c>
      <c r="BT118" s="167">
        <f t="shared" si="200"/>
        <v>9</v>
      </c>
      <c r="BW118" s="167"/>
      <c r="BX118" s="167"/>
      <c r="BY118" s="230"/>
      <c r="BZ118" s="167"/>
      <c r="CA118" s="672"/>
      <c r="CB118" s="167"/>
      <c r="CE118" s="99"/>
      <c r="CG118" s="681"/>
    </row>
    <row r="119" spans="1:85" x14ac:dyDescent="0.25">
      <c r="A119" s="96">
        <v>111</v>
      </c>
      <c r="B119" s="96" t="str">
        <f t="shared" si="282"/>
        <v>Wat 03b</v>
      </c>
      <c r="C119" s="96" t="str">
        <f t="shared" si="159"/>
        <v>Wat 03</v>
      </c>
      <c r="D119" s="163" t="s">
        <v>697</v>
      </c>
      <c r="E119" s="1124" t="s">
        <v>920</v>
      </c>
      <c r="F119" s="775">
        <v>1</v>
      </c>
      <c r="G119" s="775">
        <v>1</v>
      </c>
      <c r="H119" s="1022">
        <v>0</v>
      </c>
      <c r="I119" s="775">
        <v>1</v>
      </c>
      <c r="J119" s="775">
        <v>1</v>
      </c>
      <c r="K119" s="775">
        <v>1</v>
      </c>
      <c r="L119" s="775">
        <v>1</v>
      </c>
      <c r="M119" s="775">
        <v>1</v>
      </c>
      <c r="N119" s="775">
        <v>1</v>
      </c>
      <c r="O119" s="775">
        <v>1</v>
      </c>
      <c r="P119" s="775">
        <v>1</v>
      </c>
      <c r="Q119" s="775">
        <v>1</v>
      </c>
      <c r="R119" s="775">
        <v>1</v>
      </c>
      <c r="S119" s="97"/>
      <c r="T119" s="221">
        <f t="shared" si="248"/>
        <v>1</v>
      </c>
      <c r="U119" s="166"/>
      <c r="V119" s="167"/>
      <c r="W119" s="167"/>
      <c r="X119" s="167"/>
      <c r="Y119" s="169">
        <f>IF($Y$4=$Y$6,T119,0)</f>
        <v>0</v>
      </c>
      <c r="Z119" s="168">
        <f>VLOOKUP(B119,'Manuell filtrering og justering'!$A$7:$H$253,'Manuell filtrering og justering'!$H$1,FALSE)</f>
        <v>0</v>
      </c>
      <c r="AA119" s="169">
        <f t="shared" si="250"/>
        <v>0</v>
      </c>
      <c r="AB119" s="170">
        <f>IF($AC$5='Manuell filtrering og justering'!$J$2,Z119,(T119-AA119))</f>
        <v>1</v>
      </c>
      <c r="AD119" s="171">
        <f t="shared" si="251"/>
        <v>4.4444444444444444E-3</v>
      </c>
      <c r="AE119" s="171">
        <f t="shared" si="260"/>
        <v>0</v>
      </c>
      <c r="AF119" s="171">
        <f t="shared" si="261"/>
        <v>0</v>
      </c>
      <c r="AG119" s="171">
        <f t="shared" si="262"/>
        <v>0</v>
      </c>
      <c r="AI119" s="172">
        <f>IF(VLOOKUP(E119,'Pre-Assessment Estimator'!$E$11:$Z$225,'Pre-Assessment Estimator'!$G$2,FALSE)&gt;AB119,AB119,VLOOKUP(E119,'Pre-Assessment Estimator'!$E$11:$Z$225,'Pre-Assessment Estimator'!$G$2,FALSE))</f>
        <v>0</v>
      </c>
      <c r="AJ119" s="172">
        <f>IF(VLOOKUP(E119,'Pre-Assessment Estimator'!$E$11:$Z$225,'Pre-Assessment Estimator'!$N$2,FALSE)&gt;AB119,AB119,VLOOKUP(E119,'Pre-Assessment Estimator'!$E$11:$Z$225,'Pre-Assessment Estimator'!$N$2,FALSE))</f>
        <v>0</v>
      </c>
      <c r="AK119" s="172">
        <f>IF(VLOOKUP(E119,'Pre-Assessment Estimator'!$E$11:$Z$225,'Pre-Assessment Estimator'!$U$2,FALSE)&gt;AB119,AB119,VLOOKUP(E119,'Pre-Assessment Estimator'!$E$11:$Z$225,'Pre-Assessment Estimator'!$U$2,FALSE))</f>
        <v>0</v>
      </c>
      <c r="AM119" s="850"/>
      <c r="AN119" s="851"/>
      <c r="AO119" s="851"/>
      <c r="AP119" s="851"/>
      <c r="AQ119" s="843"/>
      <c r="AR119" s="139"/>
      <c r="AS119" s="850"/>
      <c r="AT119" s="851"/>
      <c r="AU119" s="851"/>
      <c r="AV119" s="851"/>
      <c r="AW119" s="843"/>
      <c r="AY119" s="731"/>
      <c r="AZ119" s="733"/>
      <c r="BA119" s="733"/>
      <c r="BB119" s="733"/>
      <c r="BC119" s="852"/>
      <c r="BD119" s="182">
        <f t="shared" si="280"/>
        <v>9</v>
      </c>
      <c r="BE119" s="164" t="str">
        <f t="shared" si="256"/>
        <v>N/A</v>
      </c>
      <c r="BF119" s="185"/>
      <c r="BG119" s="182">
        <f t="shared" si="272"/>
        <v>9</v>
      </c>
      <c r="BH119" s="164" t="str">
        <f t="shared" si="257"/>
        <v>N/A</v>
      </c>
      <c r="BI119" s="185"/>
      <c r="BJ119" s="182">
        <f t="shared" si="281"/>
        <v>9</v>
      </c>
      <c r="BK119" s="164" t="str">
        <f t="shared" si="258"/>
        <v>N/A</v>
      </c>
      <c r="BL119" s="847"/>
      <c r="BO119" s="167"/>
      <c r="BP119" s="167"/>
      <c r="BQ119" s="167" t="str">
        <f t="shared" si="157"/>
        <v/>
      </c>
      <c r="BR119" s="167">
        <f t="shared" si="198"/>
        <v>9</v>
      </c>
      <c r="BS119" s="167">
        <f t="shared" si="199"/>
        <v>9</v>
      </c>
      <c r="BT119" s="167">
        <f t="shared" si="200"/>
        <v>9</v>
      </c>
      <c r="BW119" s="167"/>
      <c r="BX119" s="167"/>
      <c r="BY119" s="230"/>
      <c r="BZ119" s="167"/>
      <c r="CA119" s="672"/>
      <c r="CB119" s="167"/>
      <c r="CE119" s="99"/>
      <c r="CG119" s="681"/>
    </row>
    <row r="120" spans="1:85" x14ac:dyDescent="0.25">
      <c r="A120" s="96">
        <v>112</v>
      </c>
      <c r="B120" s="96" t="str">
        <f t="shared" si="282"/>
        <v>Wat 03c</v>
      </c>
      <c r="C120" s="96" t="str">
        <f t="shared" si="159"/>
        <v>Wat 03</v>
      </c>
      <c r="D120" s="166" t="s">
        <v>698</v>
      </c>
      <c r="E120" s="1124" t="s">
        <v>646</v>
      </c>
      <c r="F120" s="775">
        <v>0</v>
      </c>
      <c r="G120" s="775">
        <v>0</v>
      </c>
      <c r="H120" s="1022">
        <v>1</v>
      </c>
      <c r="I120" s="775">
        <v>0</v>
      </c>
      <c r="J120" s="775">
        <v>0</v>
      </c>
      <c r="K120" s="775">
        <v>0</v>
      </c>
      <c r="L120" s="775">
        <v>0</v>
      </c>
      <c r="M120" s="775">
        <v>0</v>
      </c>
      <c r="N120" s="775">
        <v>0</v>
      </c>
      <c r="O120" s="775">
        <v>0</v>
      </c>
      <c r="P120" s="775">
        <v>0</v>
      </c>
      <c r="Q120" s="775">
        <v>0</v>
      </c>
      <c r="R120" s="775">
        <v>0</v>
      </c>
      <c r="S120" s="97"/>
      <c r="T120" s="221">
        <f t="shared" si="248"/>
        <v>0</v>
      </c>
      <c r="U120" s="166"/>
      <c r="V120" s="167"/>
      <c r="W120" s="167"/>
      <c r="X120" s="167"/>
      <c r="Y120" s="168"/>
      <c r="Z120" s="168">
        <f>VLOOKUP(B120,'Manuell filtrering og justering'!$A$7:$H$253,'Manuell filtrering og justering'!$H$1,FALSE)</f>
        <v>0</v>
      </c>
      <c r="AA120" s="169">
        <f t="shared" si="250"/>
        <v>0</v>
      </c>
      <c r="AB120" s="170">
        <f>IF($AC$5='Manuell filtrering og justering'!$J$2,Z120,(T120-AA120))</f>
        <v>0</v>
      </c>
      <c r="AD120" s="171">
        <f t="shared" si="251"/>
        <v>0</v>
      </c>
      <c r="AE120" s="171">
        <f t="shared" si="260"/>
        <v>0</v>
      </c>
      <c r="AF120" s="171">
        <f t="shared" si="261"/>
        <v>0</v>
      </c>
      <c r="AG120" s="171">
        <f t="shared" si="262"/>
        <v>0</v>
      </c>
      <c r="AI120" s="172">
        <f>IF(VLOOKUP(E120,'Pre-Assessment Estimator'!$E$11:$Z$225,'Pre-Assessment Estimator'!$G$2,FALSE)&gt;AB120,AB120,VLOOKUP(E120,'Pre-Assessment Estimator'!$E$11:$Z$225,'Pre-Assessment Estimator'!$G$2,FALSE))</f>
        <v>0</v>
      </c>
      <c r="AJ120" s="172">
        <f>IF(VLOOKUP(E120,'Pre-Assessment Estimator'!$E$11:$Z$225,'Pre-Assessment Estimator'!$N$2,FALSE)&gt;AB120,AB120,VLOOKUP(E120,'Pre-Assessment Estimator'!$E$11:$Z$225,'Pre-Assessment Estimator'!$N$2,FALSE))</f>
        <v>0</v>
      </c>
      <c r="AK120" s="172">
        <f>IF(VLOOKUP(E120,'Pre-Assessment Estimator'!$E$11:$Z$225,'Pre-Assessment Estimator'!$U$2,FALSE)&gt;AB120,AB120,VLOOKUP(E120,'Pre-Assessment Estimator'!$E$11:$Z$225,'Pre-Assessment Estimator'!$U$2,FALSE))</f>
        <v>0</v>
      </c>
      <c r="AM120" s="850"/>
      <c r="AN120" s="851"/>
      <c r="AO120" s="851"/>
      <c r="AP120" s="851"/>
      <c r="AQ120" s="843"/>
      <c r="AR120" s="139"/>
      <c r="AS120" s="850"/>
      <c r="AT120" s="851"/>
      <c r="AU120" s="851"/>
      <c r="AV120" s="851"/>
      <c r="AW120" s="843"/>
      <c r="AY120" s="731"/>
      <c r="AZ120" s="733"/>
      <c r="BA120" s="733"/>
      <c r="BB120" s="733"/>
      <c r="BC120" s="852"/>
      <c r="BD120" s="182">
        <f t="shared" si="280"/>
        <v>9</v>
      </c>
      <c r="BE120" s="164" t="str">
        <f t="shared" si="256"/>
        <v>N/A</v>
      </c>
      <c r="BF120" s="185"/>
      <c r="BG120" s="182">
        <f t="shared" si="272"/>
        <v>9</v>
      </c>
      <c r="BH120" s="164" t="str">
        <f t="shared" si="257"/>
        <v>N/A</v>
      </c>
      <c r="BI120" s="185"/>
      <c r="BJ120" s="182">
        <f t="shared" si="281"/>
        <v>9</v>
      </c>
      <c r="BK120" s="164" t="str">
        <f t="shared" si="258"/>
        <v>N/A</v>
      </c>
      <c r="BL120" s="847"/>
      <c r="BO120" s="167"/>
      <c r="BP120" s="167"/>
      <c r="BQ120" s="167" t="str">
        <f t="shared" si="157"/>
        <v/>
      </c>
      <c r="BR120" s="167">
        <f t="shared" si="198"/>
        <v>9</v>
      </c>
      <c r="BS120" s="167">
        <f t="shared" si="199"/>
        <v>9</v>
      </c>
      <c r="BT120" s="167">
        <f t="shared" si="200"/>
        <v>9</v>
      </c>
      <c r="BW120" s="167"/>
      <c r="BX120" s="167"/>
      <c r="BY120" s="230"/>
      <c r="BZ120" s="167"/>
      <c r="CA120" s="672"/>
      <c r="CB120" s="167"/>
      <c r="CE120" s="99"/>
      <c r="CG120" s="681"/>
    </row>
    <row r="121" spans="1:85" ht="15.75" thickBot="1" x14ac:dyDescent="0.3">
      <c r="A121" s="96">
        <v>113</v>
      </c>
      <c r="B121" s="137" t="str">
        <f>D121</f>
        <v>Wat 04</v>
      </c>
      <c r="C121" s="137" t="str">
        <f>B121</f>
        <v>Wat 04</v>
      </c>
      <c r="D121" s="834" t="s">
        <v>173</v>
      </c>
      <c r="E121" s="832" t="s">
        <v>156</v>
      </c>
      <c r="F121" s="933">
        <f>SUM(F122)</f>
        <v>1</v>
      </c>
      <c r="G121" s="933">
        <f t="shared" ref="G121:R121" si="283">SUM(G122)</f>
        <v>1</v>
      </c>
      <c r="H121" s="933">
        <f t="shared" si="283"/>
        <v>1</v>
      </c>
      <c r="I121" s="933">
        <f t="shared" si="283"/>
        <v>1</v>
      </c>
      <c r="J121" s="933">
        <f t="shared" si="283"/>
        <v>1</v>
      </c>
      <c r="K121" s="933">
        <f t="shared" si="283"/>
        <v>1</v>
      </c>
      <c r="L121" s="933">
        <f t="shared" si="283"/>
        <v>1</v>
      </c>
      <c r="M121" s="933">
        <f t="shared" si="283"/>
        <v>1</v>
      </c>
      <c r="N121" s="933">
        <f t="shared" si="283"/>
        <v>1</v>
      </c>
      <c r="O121" s="933">
        <f t="shared" si="283"/>
        <v>1</v>
      </c>
      <c r="P121" s="933">
        <f t="shared" si="283"/>
        <v>1</v>
      </c>
      <c r="Q121" s="933">
        <f t="shared" si="283"/>
        <v>1</v>
      </c>
      <c r="R121" s="933">
        <f t="shared" si="283"/>
        <v>1</v>
      </c>
      <c r="T121" s="963">
        <f t="shared" si="248"/>
        <v>1</v>
      </c>
      <c r="U121" s="222">
        <f>U122</f>
        <v>0</v>
      </c>
      <c r="V121" s="230"/>
      <c r="W121" s="230"/>
      <c r="X121" s="230">
        <f>'Manuell filtrering og justering'!E55</f>
        <v>0</v>
      </c>
      <c r="Y121" s="230"/>
      <c r="Z121" s="958">
        <f t="shared" ref="Z121" si="284">SUM(Z122)</f>
        <v>1</v>
      </c>
      <c r="AA121" s="963">
        <f t="shared" si="250"/>
        <v>0</v>
      </c>
      <c r="AB121" s="920">
        <f>AB122</f>
        <v>1</v>
      </c>
      <c r="AD121" s="171">
        <f t="shared" si="251"/>
        <v>4.4444444444444444E-3</v>
      </c>
      <c r="AE121" s="921">
        <f>SUM(AE122)</f>
        <v>0</v>
      </c>
      <c r="AF121" s="921">
        <f t="shared" ref="AF121:AG121" si="285">SUM(AF122)</f>
        <v>0</v>
      </c>
      <c r="AG121" s="921">
        <f t="shared" si="285"/>
        <v>0</v>
      </c>
      <c r="AI121" s="958">
        <f t="shared" ref="AI121" si="286">SUM(AI122)</f>
        <v>0</v>
      </c>
      <c r="AJ121" s="958">
        <f t="shared" ref="AJ121" si="287">SUM(AJ122)</f>
        <v>0</v>
      </c>
      <c r="AK121" s="958">
        <f t="shared" ref="AK121" si="288">SUM(AK122)</f>
        <v>0</v>
      </c>
      <c r="AM121" s="295"/>
      <c r="AN121" s="296"/>
      <c r="AO121" s="296"/>
      <c r="AP121" s="296"/>
      <c r="AQ121" s="297"/>
      <c r="AR121" s="139"/>
      <c r="AS121" s="295"/>
      <c r="AT121" s="296"/>
      <c r="AU121" s="296"/>
      <c r="AV121" s="296"/>
      <c r="AW121" s="297"/>
      <c r="AY121" s="194"/>
      <c r="AZ121" s="196"/>
      <c r="BA121" s="196"/>
      <c r="BB121" s="196"/>
      <c r="BC121" s="197"/>
      <c r="BD121" s="198">
        <f t="shared" si="60"/>
        <v>9</v>
      </c>
      <c r="BE121" s="164" t="str">
        <f t="shared" si="256"/>
        <v>N/A</v>
      </c>
      <c r="BF121" s="200"/>
      <c r="BG121" s="198">
        <f>IF(BC121=0,9,IF(AJ121&gt;=BC121,5,IF(AJ121&gt;=BB121,4,IF(AJ121&gt;=BA121,3,IF(AJ121&gt;=AZ121,2,IF(AJ121&lt;AY121,0,1))))))</f>
        <v>9</v>
      </c>
      <c r="BH121" s="164" t="str">
        <f t="shared" si="257"/>
        <v>N/A</v>
      </c>
      <c r="BI121" s="200"/>
      <c r="BJ121" s="198">
        <f t="shared" si="28"/>
        <v>9</v>
      </c>
      <c r="BK121" s="164" t="str">
        <f t="shared" si="258"/>
        <v>N/A</v>
      </c>
      <c r="BL121" s="200"/>
      <c r="BO121" s="167"/>
      <c r="BP121" s="167"/>
      <c r="BQ121" s="167" t="str">
        <f t="shared" si="157"/>
        <v/>
      </c>
      <c r="BR121" s="167">
        <f t="shared" si="198"/>
        <v>9</v>
      </c>
      <c r="BS121" s="167">
        <f t="shared" si="199"/>
        <v>9</v>
      </c>
      <c r="BT121" s="167">
        <f t="shared" si="200"/>
        <v>9</v>
      </c>
      <c r="BW121" s="167" t="str">
        <f>D121</f>
        <v>Wat 04</v>
      </c>
      <c r="BX121" s="167" t="str">
        <f>IFERROR(VLOOKUP($E121,'Pre-Assessment Estimator'!$E$11:$AB$225,'Pre-Assessment Estimator'!AB$2,FALSE),"")</f>
        <v>N/A</v>
      </c>
      <c r="BY121" s="167">
        <f>IFERROR(VLOOKUP($E121,'Pre-Assessment Estimator'!$E$11:$AI$225,'Pre-Assessment Estimator'!AI$2,FALSE),"")</f>
        <v>0</v>
      </c>
      <c r="BZ121" s="167">
        <f>IFERROR(VLOOKUP($BX121,$E$292:$H$325,F$290,FALSE),"")</f>
        <v>1</v>
      </c>
      <c r="CA121" s="167">
        <f>IFERROR(VLOOKUP($BX121,$E$292:$H$325,G$290,FALSE),"")</f>
        <v>0</v>
      </c>
      <c r="CB121" s="167"/>
      <c r="CC121" s="96" t="str">
        <f>IFERROR(VLOOKUP($BX121,$E$292:$H$325,I$290,FALSE),"")</f>
        <v/>
      </c>
    </row>
    <row r="122" spans="1:85" ht="15.75" thickBot="1" x14ac:dyDescent="0.3">
      <c r="A122" s="96">
        <v>114</v>
      </c>
      <c r="B122" s="96" t="str">
        <f>$D$121&amp;D122</f>
        <v>Wat 04a</v>
      </c>
      <c r="C122" s="96" t="str">
        <f t="shared" si="159"/>
        <v>Wat 04</v>
      </c>
      <c r="D122" s="231" t="s">
        <v>694</v>
      </c>
      <c r="E122" s="1124" t="s">
        <v>369</v>
      </c>
      <c r="F122" s="943">
        <v>1</v>
      </c>
      <c r="G122" s="943">
        <v>1</v>
      </c>
      <c r="H122" s="943">
        <v>1</v>
      </c>
      <c r="I122" s="943">
        <v>1</v>
      </c>
      <c r="J122" s="943">
        <v>1</v>
      </c>
      <c r="K122" s="943">
        <v>1</v>
      </c>
      <c r="L122" s="943">
        <v>1</v>
      </c>
      <c r="M122" s="943">
        <v>1</v>
      </c>
      <c r="N122" s="943">
        <v>1</v>
      </c>
      <c r="O122" s="943">
        <v>1</v>
      </c>
      <c r="P122" s="943">
        <v>1</v>
      </c>
      <c r="Q122" s="943">
        <v>1</v>
      </c>
      <c r="R122" s="943">
        <v>1</v>
      </c>
      <c r="T122" s="221">
        <f t="shared" si="248"/>
        <v>1</v>
      </c>
      <c r="U122" s="192">
        <f>IF('Assessment Details'!F23=AD_no,Poeng!T122,0)</f>
        <v>0</v>
      </c>
      <c r="V122" s="193"/>
      <c r="W122" s="193"/>
      <c r="X122" s="193"/>
      <c r="Y122" s="1166"/>
      <c r="Z122" s="168">
        <f>VLOOKUP(B122,'Manuell filtrering og justering'!$A$7:$H$253,'Manuell filtrering og justering'!$H$1,FALSE)</f>
        <v>1</v>
      </c>
      <c r="AA122" s="169">
        <f t="shared" si="250"/>
        <v>0</v>
      </c>
      <c r="AB122" s="170">
        <f>IF($AC$5='Manuell filtrering og justering'!$J$2,Z122,(T122-AA122))</f>
        <v>1</v>
      </c>
      <c r="AD122" s="171">
        <f t="shared" si="251"/>
        <v>4.4444444444444444E-3</v>
      </c>
      <c r="AE122" s="171">
        <f t="shared" si="260"/>
        <v>0</v>
      </c>
      <c r="AF122" s="171">
        <f t="shared" si="261"/>
        <v>0</v>
      </c>
      <c r="AG122" s="171">
        <f t="shared" si="262"/>
        <v>0</v>
      </c>
      <c r="AI122" s="172">
        <f>IF(VLOOKUP(E122,'Pre-Assessment Estimator'!$E$11:$Z$225,'Pre-Assessment Estimator'!$G$2,FALSE)&gt;AB122,AB122,VLOOKUP(E122,'Pre-Assessment Estimator'!$E$11:$Z$225,'Pre-Assessment Estimator'!$G$2,FALSE))</f>
        <v>0</v>
      </c>
      <c r="AJ122" s="172">
        <f>IF(VLOOKUP(E122,'Pre-Assessment Estimator'!$E$11:$Z$225,'Pre-Assessment Estimator'!$N$2,FALSE)&gt;AB122,AB122,VLOOKUP(E122,'Pre-Assessment Estimator'!$E$11:$Z$225,'Pre-Assessment Estimator'!$N$2,FALSE))</f>
        <v>0</v>
      </c>
      <c r="AK122" s="172">
        <f>IF(VLOOKUP(E122,'Pre-Assessment Estimator'!$E$11:$Z$225,'Pre-Assessment Estimator'!$U$2,FALSE)&gt;AB122,AB122,VLOOKUP(E122,'Pre-Assessment Estimator'!$E$11:$Z$225,'Pre-Assessment Estimator'!$U$2,FALSE))</f>
        <v>0</v>
      </c>
      <c r="AM122" s="295"/>
      <c r="AN122" s="296"/>
      <c r="AO122" s="296"/>
      <c r="AP122" s="296"/>
      <c r="AQ122" s="297"/>
      <c r="AR122" s="139"/>
      <c r="AS122" s="295"/>
      <c r="AT122" s="296"/>
      <c r="AU122" s="296"/>
      <c r="AV122" s="296"/>
      <c r="AW122" s="297"/>
      <c r="AY122" s="194"/>
      <c r="AZ122" s="196"/>
      <c r="BA122" s="196"/>
      <c r="BB122" s="196"/>
      <c r="BC122" s="197"/>
      <c r="BD122" s="198">
        <f t="shared" ref="BD122" si="289">IF(BC122=0,9,IF(AI122&gt;=BC122,5,IF(AI122&gt;=BB122,4,IF(AI122&gt;=BA122,3,IF(AI122&gt;=AZ122,2,IF(AI122&lt;AY122,0,1))))))</f>
        <v>9</v>
      </c>
      <c r="BE122" s="164" t="str">
        <f t="shared" si="256"/>
        <v>N/A</v>
      </c>
      <c r="BF122" s="200"/>
      <c r="BG122" s="198">
        <f>IF(BC122=0,9,IF(AJ122&gt;=BC122,5,IF(AJ122&gt;=BB122,4,IF(AJ122&gt;=BA122,3,IF(AJ122&gt;=AZ122,2,IF(AJ122&lt;AY122,0,1))))))</f>
        <v>9</v>
      </c>
      <c r="BH122" s="164" t="str">
        <f t="shared" si="257"/>
        <v>N/A</v>
      </c>
      <c r="BI122" s="200"/>
      <c r="BJ122" s="198">
        <f t="shared" ref="BJ122" si="290">IF(BC122=0,9,IF(AK122&gt;=BC122,5,IF(AK122&gt;=BB122,4,IF(AK122&gt;=BA122,3,IF(AK122&gt;=AZ122,2,IF(AK122&lt;AY122,0,1))))))</f>
        <v>9</v>
      </c>
      <c r="BK122" s="164" t="str">
        <f t="shared" si="258"/>
        <v>N/A</v>
      </c>
      <c r="BL122" s="200"/>
      <c r="BO122" s="167"/>
      <c r="BP122" s="167"/>
      <c r="BQ122" s="167" t="str">
        <f t="shared" si="157"/>
        <v/>
      </c>
      <c r="BR122" s="167">
        <f t="shared" si="198"/>
        <v>9</v>
      </c>
      <c r="BS122" s="167">
        <f t="shared" si="199"/>
        <v>9</v>
      </c>
      <c r="BT122" s="167">
        <f t="shared" si="200"/>
        <v>9</v>
      </c>
      <c r="BW122" s="314"/>
      <c r="BX122" s="314"/>
      <c r="BY122" s="314"/>
      <c r="BZ122" s="314"/>
      <c r="CA122" s="314"/>
      <c r="CB122" s="314"/>
    </row>
    <row r="123" spans="1:85" ht="15.75" thickBot="1" x14ac:dyDescent="0.3">
      <c r="A123" s="96">
        <v>115</v>
      </c>
      <c r="B123" s="96" t="s">
        <v>887</v>
      </c>
      <c r="D123" s="201"/>
      <c r="E123" s="202" t="s">
        <v>215</v>
      </c>
      <c r="F123" s="773">
        <f>F113+F115+F117+F121</f>
        <v>9</v>
      </c>
      <c r="G123" s="773">
        <f t="shared" ref="G123:R123" si="291">G113+G115+G117+G121</f>
        <v>9</v>
      </c>
      <c r="H123" s="773">
        <f t="shared" si="291"/>
        <v>9</v>
      </c>
      <c r="I123" s="773">
        <f t="shared" si="291"/>
        <v>9</v>
      </c>
      <c r="J123" s="773">
        <f t="shared" si="291"/>
        <v>9</v>
      </c>
      <c r="K123" s="773">
        <f t="shared" si="291"/>
        <v>9</v>
      </c>
      <c r="L123" s="773">
        <f t="shared" si="291"/>
        <v>9</v>
      </c>
      <c r="M123" s="773">
        <f t="shared" si="291"/>
        <v>9</v>
      </c>
      <c r="N123" s="773">
        <f t="shared" si="291"/>
        <v>9</v>
      </c>
      <c r="O123" s="773">
        <f t="shared" si="291"/>
        <v>9</v>
      </c>
      <c r="P123" s="773">
        <f t="shared" si="291"/>
        <v>9</v>
      </c>
      <c r="Q123" s="773">
        <f t="shared" ref="Q123" si="292">Q113+Q115+Q117+Q121</f>
        <v>9</v>
      </c>
      <c r="R123" s="773">
        <f t="shared" si="291"/>
        <v>9</v>
      </c>
      <c r="T123" s="226">
        <f t="shared" si="248"/>
        <v>9</v>
      </c>
      <c r="U123" s="204"/>
      <c r="V123" s="205"/>
      <c r="W123" s="205"/>
      <c r="X123" s="205"/>
      <c r="Y123" s="206"/>
      <c r="Z123" s="206"/>
      <c r="AA123" s="773">
        <f t="shared" ref="AA123:AG123" si="293">AA113+AA115+AA117+AA121</f>
        <v>0</v>
      </c>
      <c r="AB123" s="773">
        <f t="shared" si="293"/>
        <v>9</v>
      </c>
      <c r="AD123" s="208">
        <f t="shared" si="293"/>
        <v>0.04</v>
      </c>
      <c r="AE123" s="208">
        <f t="shared" si="293"/>
        <v>0</v>
      </c>
      <c r="AF123" s="208">
        <f t="shared" si="293"/>
        <v>0</v>
      </c>
      <c r="AG123" s="208">
        <f t="shared" si="293"/>
        <v>0</v>
      </c>
      <c r="AI123" s="78">
        <f t="shared" ref="AI123:AK123" si="294">AI113+AI115+AI117+AI121</f>
        <v>0</v>
      </c>
      <c r="AJ123" s="78">
        <f t="shared" si="294"/>
        <v>0</v>
      </c>
      <c r="AK123" s="78">
        <f t="shared" si="294"/>
        <v>0</v>
      </c>
      <c r="AM123" s="139"/>
      <c r="AN123" s="139"/>
      <c r="AO123" s="139"/>
      <c r="AP123" s="139"/>
      <c r="AQ123" s="139"/>
      <c r="AR123" s="139"/>
      <c r="AS123" s="139"/>
      <c r="AT123" s="139"/>
      <c r="AU123" s="139"/>
      <c r="AV123" s="139"/>
      <c r="AW123" s="139"/>
      <c r="AY123" s="97"/>
      <c r="AZ123" s="209"/>
      <c r="BA123" s="97"/>
      <c r="BB123" s="97"/>
      <c r="BC123" s="97"/>
      <c r="BW123" s="202"/>
      <c r="BX123" s="202" t="str">
        <f>IFERROR(VLOOKUP($E123,'Pre-Assessment Estimator'!$E$11:$AB$225,'Pre-Assessment Estimator'!AB$2,FALSE),"")</f>
        <v/>
      </c>
      <c r="BY123" s="202" t="str">
        <f>IFERROR(VLOOKUP($E123,'Pre-Assessment Estimator'!$E$11:$AI$225,'Pre-Assessment Estimator'!AI$2,FALSE),"")</f>
        <v/>
      </c>
      <c r="BZ123" s="202" t="str">
        <f t="shared" ref="BZ123:CA126" si="295">IFERROR(VLOOKUP($BX123,$E$292:$H$325,F$290,FALSE),"")</f>
        <v/>
      </c>
      <c r="CA123" s="202" t="str">
        <f t="shared" si="295"/>
        <v/>
      </c>
      <c r="CB123" s="202"/>
      <c r="CC123" s="96" t="str">
        <f>IFERROR(VLOOKUP($BX123,$E$292:$H$325,I$290,FALSE),"")</f>
        <v/>
      </c>
    </row>
    <row r="124" spans="1:85" ht="15.75" thickBot="1" x14ac:dyDescent="0.3">
      <c r="A124" s="96">
        <v>116</v>
      </c>
      <c r="AI124" s="1"/>
      <c r="AJ124" s="1"/>
      <c r="AK124" s="1"/>
      <c r="AM124" s="139"/>
      <c r="AN124" s="139"/>
      <c r="AO124" s="139"/>
      <c r="AP124" s="139"/>
      <c r="AQ124" s="139"/>
      <c r="AR124" s="139"/>
      <c r="AS124" s="139"/>
      <c r="AT124" s="139"/>
      <c r="AU124" s="139"/>
      <c r="AV124" s="139"/>
      <c r="AW124" s="139"/>
      <c r="AY124" s="97"/>
      <c r="AZ124" s="97"/>
      <c r="BA124" s="97"/>
      <c r="BB124" s="97"/>
      <c r="BC124" s="97"/>
      <c r="BX124" s="96" t="str">
        <f>IFERROR(VLOOKUP($E124,'Pre-Assessment Estimator'!$E$11:$AB$225,'Pre-Assessment Estimator'!AB$2,FALSE),"")</f>
        <v/>
      </c>
      <c r="BY124" s="96" t="str">
        <f>IFERROR(VLOOKUP($E124,'Pre-Assessment Estimator'!$E$11:$AI$225,'Pre-Assessment Estimator'!AI$2,FALSE),"")</f>
        <v/>
      </c>
      <c r="BZ124" s="96" t="str">
        <f t="shared" si="295"/>
        <v/>
      </c>
      <c r="CA124" s="96" t="str">
        <f t="shared" si="295"/>
        <v/>
      </c>
      <c r="CC124" s="96" t="str">
        <f>IFERROR(VLOOKUP($BX124,$E$292:$H$325,I$290,FALSE),"")</f>
        <v/>
      </c>
    </row>
    <row r="125" spans="1:85" ht="60.75" thickBot="1" x14ac:dyDescent="0.3">
      <c r="A125" s="96">
        <v>117</v>
      </c>
      <c r="D125" s="151"/>
      <c r="E125" s="152" t="s">
        <v>69</v>
      </c>
      <c r="F125" s="1243" t="str">
        <f>$F$9</f>
        <v>Office</v>
      </c>
      <c r="G125" s="1243" t="str">
        <f>$G$9</f>
        <v>Retail</v>
      </c>
      <c r="H125" s="1247" t="str">
        <f>$H$9</f>
        <v>Residential</v>
      </c>
      <c r="I125" s="1243" t="str">
        <f>$I$9</f>
        <v>Industrial</v>
      </c>
      <c r="J125" s="1245" t="str">
        <f>$J$9</f>
        <v>Healthcare</v>
      </c>
      <c r="K125" s="1245" t="str">
        <f>$K$9</f>
        <v>Prison</v>
      </c>
      <c r="L125" s="1245" t="str">
        <f>$L$9</f>
        <v>Law Court</v>
      </c>
      <c r="M125" s="1249" t="str">
        <f>$M$9</f>
        <v>Residential institution (long term stay)</v>
      </c>
      <c r="N125" s="918" t="str">
        <f>$N$9</f>
        <v>Residential institution (short term stay)</v>
      </c>
      <c r="O125" s="918" t="str">
        <f>$O$9</f>
        <v>Non-residential institution</v>
      </c>
      <c r="P125" s="918" t="str">
        <f>$P$9</f>
        <v>Assembly and leisure</v>
      </c>
      <c r="Q125" s="1245" t="str">
        <f>$Q$9</f>
        <v>Education</v>
      </c>
      <c r="R125" s="857" t="str">
        <f>$R$9</f>
        <v>Other</v>
      </c>
      <c r="T125" s="138" t="str">
        <f>$E$6</f>
        <v>Office</v>
      </c>
      <c r="U125" s="210"/>
      <c r="V125" s="211"/>
      <c r="W125" s="211"/>
      <c r="X125" s="211"/>
      <c r="Y125" s="1167" t="s">
        <v>413</v>
      </c>
      <c r="Z125" s="347" t="s">
        <v>336</v>
      </c>
      <c r="AA125" s="150" t="s">
        <v>215</v>
      </c>
      <c r="AB125" s="59" t="s">
        <v>15</v>
      </c>
      <c r="AI125" s="42"/>
      <c r="AJ125" s="60"/>
      <c r="AK125" s="60"/>
      <c r="AM125" s="139"/>
      <c r="AN125" s="139"/>
      <c r="AO125" s="139"/>
      <c r="AP125" s="139"/>
      <c r="AQ125" s="139"/>
      <c r="AR125" s="139"/>
      <c r="AS125" s="139"/>
      <c r="AT125" s="139"/>
      <c r="AU125" s="139"/>
      <c r="AV125" s="139"/>
      <c r="AW125" s="139"/>
      <c r="AY125" s="97"/>
      <c r="AZ125" s="97"/>
      <c r="BA125" s="97"/>
      <c r="BB125" s="97"/>
      <c r="BC125" s="97"/>
      <c r="BO125" s="60"/>
      <c r="BP125" s="60"/>
      <c r="BQ125" s="60"/>
      <c r="BR125" s="60"/>
      <c r="BS125" s="60"/>
      <c r="BT125" s="60"/>
      <c r="BW125" s="146"/>
      <c r="BX125" s="146" t="str">
        <f>E125</f>
        <v>Materials</v>
      </c>
      <c r="BY125" s="146">
        <f>IFERROR(VLOOKUP($E125,'Pre-Assessment Estimator'!$E$11:$AI$225,'Pre-Assessment Estimator'!AI$2,FALSE),"")</f>
        <v>0</v>
      </c>
      <c r="BZ125" s="146" t="str">
        <f t="shared" si="295"/>
        <v/>
      </c>
      <c r="CA125" s="146" t="str">
        <f t="shared" si="295"/>
        <v/>
      </c>
      <c r="CB125" s="146"/>
      <c r="CC125" s="96" t="str">
        <f>IFERROR(VLOOKUP($BX125,$E$292:$H$325,I$290,FALSE),"")</f>
        <v/>
      </c>
    </row>
    <row r="126" spans="1:85" x14ac:dyDescent="0.25">
      <c r="A126" s="96">
        <v>118</v>
      </c>
      <c r="B126" s="137" t="str">
        <f>D126</f>
        <v>Mat 01</v>
      </c>
      <c r="C126" s="137" t="str">
        <f>B126</f>
        <v>Mat 01</v>
      </c>
      <c r="D126" s="858" t="s">
        <v>174</v>
      </c>
      <c r="E126" s="859" t="s">
        <v>464</v>
      </c>
      <c r="F126" s="933">
        <f>SUM(F127:F129)</f>
        <v>5</v>
      </c>
      <c r="G126" s="933">
        <f t="shared" ref="G126:R126" si="296">SUM(G127:G129)</f>
        <v>5</v>
      </c>
      <c r="H126" s="933">
        <f t="shared" si="296"/>
        <v>5</v>
      </c>
      <c r="I126" s="933">
        <f t="shared" si="296"/>
        <v>5</v>
      </c>
      <c r="J126" s="933">
        <f t="shared" si="296"/>
        <v>5</v>
      </c>
      <c r="K126" s="933">
        <f t="shared" si="296"/>
        <v>5</v>
      </c>
      <c r="L126" s="933">
        <f t="shared" si="296"/>
        <v>5</v>
      </c>
      <c r="M126" s="933">
        <f t="shared" si="296"/>
        <v>5</v>
      </c>
      <c r="N126" s="933">
        <f t="shared" si="296"/>
        <v>5</v>
      </c>
      <c r="O126" s="933">
        <f t="shared" si="296"/>
        <v>5</v>
      </c>
      <c r="P126" s="933">
        <f t="shared" si="296"/>
        <v>5</v>
      </c>
      <c r="Q126" s="933">
        <f t="shared" ref="Q126" si="297">SUM(Q127:Q129)</f>
        <v>5</v>
      </c>
      <c r="R126" s="933">
        <f t="shared" si="296"/>
        <v>5</v>
      </c>
      <c r="T126" s="961">
        <f t="shared" ref="T126:T152" si="298">HLOOKUP($E$6,$F$9:$R$231,$A126,FALSE)</f>
        <v>5</v>
      </c>
      <c r="U126" s="222"/>
      <c r="V126" s="230"/>
      <c r="W126" s="230"/>
      <c r="X126" s="230">
        <f>'Manuell filtrering og justering'!E59</f>
        <v>0</v>
      </c>
      <c r="Y126" s="230"/>
      <c r="Z126" s="958">
        <f t="shared" ref="Z126" si="299">SUM(Z127:Z129)</f>
        <v>5</v>
      </c>
      <c r="AA126" s="963">
        <f t="shared" ref="AA126:AA151" si="300">IF(SUM(U126:Y126)&gt;T126,T126,SUM(U126:Y126))</f>
        <v>0</v>
      </c>
      <c r="AB126" s="1067">
        <f>SUM(AB127:AB129)</f>
        <v>5</v>
      </c>
      <c r="AD126" s="171">
        <f t="shared" ref="AD126:AD151" si="301">(Mat_Weight/Mat_Credits)*AB126</f>
        <v>4.0476190476190485E-2</v>
      </c>
      <c r="AE126" s="921">
        <f>SUM(AE127:AE129)</f>
        <v>0</v>
      </c>
      <c r="AF126" s="921">
        <f t="shared" ref="AF126" si="302">SUM(AF127:AF129)</f>
        <v>0</v>
      </c>
      <c r="AG126" s="921">
        <f t="shared" ref="AG126" si="303">SUM(AG127:AG129)</f>
        <v>0</v>
      </c>
      <c r="AI126" s="958">
        <f t="shared" ref="AI126" si="304">SUM(AI127:AI129)</f>
        <v>0</v>
      </c>
      <c r="AJ126" s="958">
        <f t="shared" ref="AJ126" si="305">SUM(AJ127:AJ129)</f>
        <v>0</v>
      </c>
      <c r="AK126" s="958">
        <f t="shared" ref="AK126" si="306">SUM(AK127:AK129)</f>
        <v>0</v>
      </c>
      <c r="AM126" s="298"/>
      <c r="AN126" s="299"/>
      <c r="AO126" s="299"/>
      <c r="AP126" s="299"/>
      <c r="AQ126" s="300"/>
      <c r="AR126" s="139"/>
      <c r="AS126" s="298"/>
      <c r="AT126" s="299"/>
      <c r="AU126" s="299"/>
      <c r="AV126" s="299"/>
      <c r="AW126" s="300"/>
      <c r="AY126" s="218"/>
      <c r="AZ126" s="219"/>
      <c r="BA126" s="219"/>
      <c r="BB126" s="219"/>
      <c r="BC126" s="716"/>
      <c r="BD126" s="174">
        <f t="shared" ref="BD126:BD129" si="307">IF(BC126=0,9,IF(AI126&gt;=BC126,5,IF(AI126&gt;=BB126,4,IF(AI126&gt;=BA126,3,IF(AI126&gt;=AZ126,2,IF(AI126&lt;AY126,0,1))))))</f>
        <v>9</v>
      </c>
      <c r="BE126" s="164" t="str">
        <f t="shared" ref="BE126:BE151" si="308">VLOOKUP(BD126,$BO$283:$BT$289,6,FALSE)</f>
        <v>N/A</v>
      </c>
      <c r="BF126" s="178"/>
      <c r="BG126" s="174">
        <f t="shared" ref="BG126:BG133" si="309">IF(BC126=0,9,IF(AJ126&gt;=BC126,5,IF(AJ126&gt;=BB126,4,IF(AJ126&gt;=BA126,3,IF(AJ126&gt;=AZ126,2,IF(AJ126&lt;AY126,0,1))))))</f>
        <v>9</v>
      </c>
      <c r="BH126" s="164" t="str">
        <f t="shared" ref="BH126:BH151" si="310">VLOOKUP(BG126,$BO$283:$BT$289,6,FALSE)</f>
        <v>N/A</v>
      </c>
      <c r="BI126" s="178"/>
      <c r="BJ126" s="174">
        <f t="shared" si="28"/>
        <v>9</v>
      </c>
      <c r="BK126" s="164" t="str">
        <f t="shared" ref="BK126:BK151" si="311">VLOOKUP(BJ126,$BO$283:$BT$289,6,FALSE)</f>
        <v>N/A</v>
      </c>
      <c r="BL126" s="178"/>
      <c r="BO126" s="167"/>
      <c r="BP126" s="167"/>
      <c r="BQ126" s="167" t="str">
        <f t="shared" si="157"/>
        <v/>
      </c>
      <c r="BR126" s="167">
        <f t="shared" si="198"/>
        <v>9</v>
      </c>
      <c r="BS126" s="167">
        <f t="shared" si="199"/>
        <v>9</v>
      </c>
      <c r="BT126" s="167">
        <f t="shared" si="200"/>
        <v>9</v>
      </c>
      <c r="BW126" s="164" t="str">
        <f>D126</f>
        <v>Mat 01</v>
      </c>
      <c r="BX126" s="164" t="str">
        <f>IFERROR(VLOOKUP($E126,'Pre-Assessment Estimator'!$E$11:$AB$225,'Pre-Assessment Estimator'!AB$2,FALSE),"")</f>
        <v>N/A</v>
      </c>
      <c r="BY126" s="164">
        <f>IFERROR(VLOOKUP($E126,'Pre-Assessment Estimator'!$E$11:$AI$225,'Pre-Assessment Estimator'!AI$2,FALSE),"")</f>
        <v>0</v>
      </c>
      <c r="BZ126" s="164">
        <f t="shared" si="295"/>
        <v>1</v>
      </c>
      <c r="CA126" s="164">
        <f t="shared" si="295"/>
        <v>0</v>
      </c>
      <c r="CB126" s="164"/>
      <c r="CC126" s="96" t="s">
        <v>431</v>
      </c>
    </row>
    <row r="127" spans="1:85" x14ac:dyDescent="0.25">
      <c r="A127" s="96">
        <v>119</v>
      </c>
      <c r="B127" s="137"/>
      <c r="C127" s="96" t="str">
        <f t="shared" si="159"/>
        <v>Mat 01</v>
      </c>
      <c r="D127" s="166" t="s">
        <v>694</v>
      </c>
      <c r="E127" s="940" t="s">
        <v>647</v>
      </c>
      <c r="F127" s="775"/>
      <c r="G127" s="775"/>
      <c r="H127" s="775"/>
      <c r="I127" s="775"/>
      <c r="J127" s="775"/>
      <c r="K127" s="775"/>
      <c r="L127" s="775"/>
      <c r="M127" s="775"/>
      <c r="N127" s="775"/>
      <c r="O127" s="775"/>
      <c r="P127" s="775"/>
      <c r="Q127" s="775"/>
      <c r="R127" s="775"/>
      <c r="T127" s="221">
        <f t="shared" si="298"/>
        <v>0</v>
      </c>
      <c r="U127" s="166"/>
      <c r="V127" s="167"/>
      <c r="W127" s="167"/>
      <c r="X127" s="167"/>
      <c r="Y127" s="168"/>
      <c r="Z127" s="168"/>
      <c r="AA127" s="169">
        <f t="shared" si="300"/>
        <v>0</v>
      </c>
      <c r="AB127" s="170">
        <f>IF($AC$5='Manuell filtrering og justering'!$J$2,Z127,(T127-AA127))</f>
        <v>0</v>
      </c>
      <c r="AD127" s="171">
        <f t="shared" si="301"/>
        <v>0</v>
      </c>
      <c r="AE127" s="171">
        <f t="shared" ref="AE127:AE151" si="312">IF(AB127=0,0,(AD127/AB127)*AI127)</f>
        <v>0</v>
      </c>
      <c r="AF127" s="171">
        <f t="shared" ref="AF127:AF151" si="313">IF(AB127=0,0,(AD127/AB127)*AJ127)</f>
        <v>0</v>
      </c>
      <c r="AG127" s="171">
        <f t="shared" ref="AG127:AG151" si="314">IF(AB127=0,0,(AD127/AB127)*AK127)</f>
        <v>0</v>
      </c>
      <c r="AI127" s="172">
        <f>IF(VLOOKUP(E127,'Pre-Assessment Estimator'!$E$11:$Z$225,'Pre-Assessment Estimator'!$G$2,FALSE)&gt;AB127,AB127,VLOOKUP(E127,'Pre-Assessment Estimator'!$E$11:$Z$225,'Pre-Assessment Estimator'!$G$2,FALSE))</f>
        <v>0</v>
      </c>
      <c r="AJ127" s="172">
        <f>IF(VLOOKUP(E127,'Pre-Assessment Estimator'!$E$11:$Z$225,'Pre-Assessment Estimator'!$N$2,FALSE)&gt;AB127,AB127,VLOOKUP(E127,'Pre-Assessment Estimator'!$E$11:$Z$225,'Pre-Assessment Estimator'!$N$2,FALSE))</f>
        <v>0</v>
      </c>
      <c r="AK127" s="172">
        <f>IF(VLOOKUP(E127,'Pre-Assessment Estimator'!$E$11:$Z$225,'Pre-Assessment Estimator'!$U$2,FALSE)&gt;AB127,AB127,VLOOKUP(E127,'Pre-Assessment Estimator'!$E$11:$Z$225,'Pre-Assessment Estimator'!$U$2,FALSE))</f>
        <v>0</v>
      </c>
      <c r="AM127" s="835"/>
      <c r="AN127" s="836"/>
      <c r="AO127" s="836"/>
      <c r="AP127" s="836"/>
      <c r="AQ127" s="837"/>
      <c r="AR127" s="139"/>
      <c r="AS127" s="835"/>
      <c r="AT127" s="836"/>
      <c r="AU127" s="836"/>
      <c r="AV127" s="836"/>
      <c r="AW127" s="837"/>
      <c r="AY127" s="708"/>
      <c r="AZ127" s="709"/>
      <c r="BA127" s="709"/>
      <c r="BB127" s="709"/>
      <c r="BC127" s="855"/>
      <c r="BD127" s="182">
        <f t="shared" si="307"/>
        <v>9</v>
      </c>
      <c r="BE127" s="164" t="str">
        <f t="shared" si="308"/>
        <v>N/A</v>
      </c>
      <c r="BF127" s="185"/>
      <c r="BG127" s="182">
        <f t="shared" ref="BG127:BG129" si="315">IF(BC127=0,9,IF(AJ127&gt;=BC127,5,IF(AJ127&gt;=BB127,4,IF(AJ127&gt;=BA127,3,IF(AJ127&gt;=AZ127,2,IF(AJ127&lt;AY127,0,1))))))</f>
        <v>9</v>
      </c>
      <c r="BH127" s="164" t="str">
        <f t="shared" si="310"/>
        <v>N/A</v>
      </c>
      <c r="BI127" s="185"/>
      <c r="BJ127" s="182">
        <f t="shared" si="28"/>
        <v>9</v>
      </c>
      <c r="BK127" s="164" t="str">
        <f t="shared" si="311"/>
        <v>N/A</v>
      </c>
      <c r="BL127" s="830"/>
      <c r="BO127" s="167"/>
      <c r="BP127" s="167"/>
      <c r="BQ127" s="167" t="str">
        <f t="shared" si="157"/>
        <v/>
      </c>
      <c r="BR127" s="167">
        <f t="shared" si="198"/>
        <v>9</v>
      </c>
      <c r="BS127" s="167">
        <f t="shared" si="199"/>
        <v>9</v>
      </c>
      <c r="BT127" s="167">
        <f t="shared" si="200"/>
        <v>9</v>
      </c>
      <c r="BW127" s="164"/>
      <c r="BX127" s="164"/>
      <c r="BY127" s="164"/>
      <c r="BZ127" s="164"/>
      <c r="CA127" s="164"/>
      <c r="CB127" s="164"/>
    </row>
    <row r="128" spans="1:85" x14ac:dyDescent="0.25">
      <c r="A128" s="96">
        <v>120</v>
      </c>
      <c r="B128" s="96" t="str">
        <f t="shared" ref="B128:B129" si="316">$D$126&amp;D128</f>
        <v>Mat 01b</v>
      </c>
      <c r="C128" s="96" t="str">
        <f t="shared" si="159"/>
        <v>Mat 01</v>
      </c>
      <c r="D128" s="166" t="s">
        <v>697</v>
      </c>
      <c r="E128" s="1124" t="s">
        <v>648</v>
      </c>
      <c r="F128" s="775">
        <v>3</v>
      </c>
      <c r="G128" s="775">
        <v>3</v>
      </c>
      <c r="H128" s="775">
        <v>3</v>
      </c>
      <c r="I128" s="775">
        <v>3</v>
      </c>
      <c r="J128" s="775">
        <v>3</v>
      </c>
      <c r="K128" s="775">
        <v>3</v>
      </c>
      <c r="L128" s="775">
        <v>3</v>
      </c>
      <c r="M128" s="775">
        <v>3</v>
      </c>
      <c r="N128" s="775">
        <v>3</v>
      </c>
      <c r="O128" s="775">
        <v>3</v>
      </c>
      <c r="P128" s="775">
        <v>3</v>
      </c>
      <c r="Q128" s="775">
        <v>3</v>
      </c>
      <c r="R128" s="775">
        <v>3</v>
      </c>
      <c r="T128" s="221">
        <f t="shared" si="298"/>
        <v>3</v>
      </c>
      <c r="U128" s="166"/>
      <c r="V128" s="167"/>
      <c r="W128" s="167"/>
      <c r="X128" s="167"/>
      <c r="Y128" s="168"/>
      <c r="Z128" s="168">
        <f>VLOOKUP(B128,'Manuell filtrering og justering'!$A$7:$H$253,'Manuell filtrering og justering'!$H$1,FALSE)</f>
        <v>3</v>
      </c>
      <c r="AA128" s="169">
        <f t="shared" si="300"/>
        <v>0</v>
      </c>
      <c r="AB128" s="170">
        <f>IF($AC$5='Manuell filtrering og justering'!$J$2,Z128,(T128-AA128))</f>
        <v>3</v>
      </c>
      <c r="AD128" s="171">
        <f t="shared" si="301"/>
        <v>2.4285714285714289E-2</v>
      </c>
      <c r="AE128" s="171">
        <f t="shared" si="312"/>
        <v>0</v>
      </c>
      <c r="AF128" s="171">
        <f t="shared" si="313"/>
        <v>0</v>
      </c>
      <c r="AG128" s="171">
        <f t="shared" si="314"/>
        <v>0</v>
      </c>
      <c r="AI128" s="172">
        <f>IF(VLOOKUP(E128,'Pre-Assessment Estimator'!$E$11:$Z$225,'Pre-Assessment Estimator'!$G$2,FALSE)&gt;AB128,AB128,VLOOKUP(E128,'Pre-Assessment Estimator'!$E$11:$Z$225,'Pre-Assessment Estimator'!$G$2,FALSE))</f>
        <v>0</v>
      </c>
      <c r="AJ128" s="172">
        <f>IF(VLOOKUP(E128,'Pre-Assessment Estimator'!$E$11:$Z$225,'Pre-Assessment Estimator'!$N$2,FALSE)&gt;AB128,AB128,VLOOKUP(E128,'Pre-Assessment Estimator'!$E$11:$Z$225,'Pre-Assessment Estimator'!$N$2,FALSE))</f>
        <v>0</v>
      </c>
      <c r="AK128" s="172">
        <f>IF(VLOOKUP(E128,'Pre-Assessment Estimator'!$E$11:$Z$225,'Pre-Assessment Estimator'!$U$2,FALSE)&gt;AB128,AB128,VLOOKUP(E128,'Pre-Assessment Estimator'!$E$11:$Z$225,'Pre-Assessment Estimator'!$U$2,FALSE))</f>
        <v>0</v>
      </c>
      <c r="AM128" s="835"/>
      <c r="AN128" s="836"/>
      <c r="AO128" s="836">
        <v>1</v>
      </c>
      <c r="AP128" s="836">
        <v>1</v>
      </c>
      <c r="AQ128" s="837">
        <v>2</v>
      </c>
      <c r="AR128" s="139"/>
      <c r="AS128" s="835"/>
      <c r="AT128" s="836"/>
      <c r="AU128" s="836">
        <v>1</v>
      </c>
      <c r="AV128" s="836">
        <v>1</v>
      </c>
      <c r="AW128" s="837">
        <v>2</v>
      </c>
      <c r="AY128" s="708"/>
      <c r="AZ128" s="709"/>
      <c r="BA128" s="183">
        <f>IF($AB128=0,0,IF($E$6=$H$9,AU128,AO128))</f>
        <v>1</v>
      </c>
      <c r="BB128" s="183">
        <f>IF($AB128=0,0,IF($E$6=$H$9,AV128,AP128))</f>
        <v>1</v>
      </c>
      <c r="BC128" s="183">
        <f>IF($AB128=0,0,IF($E$6=$H$9,AW128,AQ128))</f>
        <v>2</v>
      </c>
      <c r="BD128" s="182">
        <f t="shared" si="307"/>
        <v>2</v>
      </c>
      <c r="BE128" s="164" t="str">
        <f t="shared" si="308"/>
        <v>Good</v>
      </c>
      <c r="BF128" s="185"/>
      <c r="BG128" s="182">
        <f t="shared" si="315"/>
        <v>2</v>
      </c>
      <c r="BH128" s="164" t="str">
        <f t="shared" si="310"/>
        <v>Good</v>
      </c>
      <c r="BI128" s="185"/>
      <c r="BJ128" s="182">
        <f t="shared" si="28"/>
        <v>2</v>
      </c>
      <c r="BK128" s="164" t="str">
        <f t="shared" si="311"/>
        <v>Good</v>
      </c>
      <c r="BL128" s="830"/>
      <c r="BO128" s="167"/>
      <c r="BP128" s="167"/>
      <c r="BQ128" s="167" t="str">
        <f t="shared" si="157"/>
        <v/>
      </c>
      <c r="BR128" s="167">
        <f t="shared" si="198"/>
        <v>9</v>
      </c>
      <c r="BS128" s="167">
        <f t="shared" si="199"/>
        <v>9</v>
      </c>
      <c r="BT128" s="167">
        <f t="shared" si="200"/>
        <v>9</v>
      </c>
      <c r="BW128" s="164"/>
      <c r="BX128" s="164"/>
      <c r="BY128" s="164"/>
      <c r="BZ128" s="164"/>
      <c r="CA128" s="164"/>
      <c r="CB128" s="164"/>
    </row>
    <row r="129" spans="1:85" x14ac:dyDescent="0.25">
      <c r="A129" s="96">
        <v>121</v>
      </c>
      <c r="B129" s="96" t="str">
        <f t="shared" si="316"/>
        <v>Mat 01c</v>
      </c>
      <c r="C129" s="96" t="str">
        <f t="shared" si="159"/>
        <v>Mat 01</v>
      </c>
      <c r="D129" s="188" t="s">
        <v>698</v>
      </c>
      <c r="E129" s="1124" t="s">
        <v>649</v>
      </c>
      <c r="F129" s="775">
        <v>2</v>
      </c>
      <c r="G129" s="775">
        <v>2</v>
      </c>
      <c r="H129" s="775">
        <v>2</v>
      </c>
      <c r="I129" s="775">
        <v>2</v>
      </c>
      <c r="J129" s="775">
        <v>2</v>
      </c>
      <c r="K129" s="775">
        <v>2</v>
      </c>
      <c r="L129" s="775">
        <v>2</v>
      </c>
      <c r="M129" s="775">
        <v>2</v>
      </c>
      <c r="N129" s="775">
        <v>2</v>
      </c>
      <c r="O129" s="775">
        <v>2</v>
      </c>
      <c r="P129" s="775">
        <v>2</v>
      </c>
      <c r="Q129" s="775">
        <v>2</v>
      </c>
      <c r="R129" s="775">
        <v>2</v>
      </c>
      <c r="T129" s="221">
        <f t="shared" si="298"/>
        <v>2</v>
      </c>
      <c r="U129" s="166"/>
      <c r="V129" s="167"/>
      <c r="W129" s="167"/>
      <c r="X129" s="167"/>
      <c r="Y129" s="168"/>
      <c r="Z129" s="168">
        <f>VLOOKUP(B129,'Manuell filtrering og justering'!$A$7:$H$253,'Manuell filtrering og justering'!$H$1,FALSE)</f>
        <v>2</v>
      </c>
      <c r="AA129" s="169">
        <f t="shared" si="300"/>
        <v>0</v>
      </c>
      <c r="AB129" s="170">
        <f>IF($AC$5='Manuell filtrering og justering'!$J$2,Z129,(T129-AA129))</f>
        <v>2</v>
      </c>
      <c r="AD129" s="171">
        <f t="shared" si="301"/>
        <v>1.6190476190476193E-2</v>
      </c>
      <c r="AE129" s="171">
        <f t="shared" si="312"/>
        <v>0</v>
      </c>
      <c r="AF129" s="171">
        <f t="shared" si="313"/>
        <v>0</v>
      </c>
      <c r="AG129" s="171">
        <f t="shared" si="314"/>
        <v>0</v>
      </c>
      <c r="AI129" s="172">
        <f>IF(VLOOKUP(E129,'Pre-Assessment Estimator'!$E$11:$Z$225,'Pre-Assessment Estimator'!$G$2,FALSE)&gt;AB129,AB129,VLOOKUP(E129,'Pre-Assessment Estimator'!$E$11:$Z$225,'Pre-Assessment Estimator'!$G$2,FALSE))</f>
        <v>0</v>
      </c>
      <c r="AJ129" s="172">
        <f>IF(VLOOKUP(E129,'Pre-Assessment Estimator'!$E$11:$Z$225,'Pre-Assessment Estimator'!$N$2,FALSE)&gt;AB129,AB129,VLOOKUP(E129,'Pre-Assessment Estimator'!$E$11:$Z$225,'Pre-Assessment Estimator'!$N$2,FALSE))</f>
        <v>0</v>
      </c>
      <c r="AK129" s="172">
        <f>IF(VLOOKUP(E129,'Pre-Assessment Estimator'!$E$11:$Z$225,'Pre-Assessment Estimator'!$U$2,FALSE)&gt;AB129,AB129,VLOOKUP(E129,'Pre-Assessment Estimator'!$E$11:$Z$225,'Pre-Assessment Estimator'!$U$2,FALSE))</f>
        <v>0</v>
      </c>
      <c r="AM129" s="835"/>
      <c r="AN129" s="836"/>
      <c r="AO129" s="836"/>
      <c r="AP129" s="836"/>
      <c r="AQ129" s="837"/>
      <c r="AR129" s="139"/>
      <c r="AS129" s="835"/>
      <c r="AT129" s="836"/>
      <c r="AU129" s="836"/>
      <c r="AV129" s="836"/>
      <c r="AW129" s="837"/>
      <c r="AY129" s="708"/>
      <c r="AZ129" s="709"/>
      <c r="BA129" s="709"/>
      <c r="BB129" s="709"/>
      <c r="BC129" s="855"/>
      <c r="BD129" s="182">
        <f t="shared" si="307"/>
        <v>9</v>
      </c>
      <c r="BE129" s="164" t="str">
        <f t="shared" si="308"/>
        <v>N/A</v>
      </c>
      <c r="BF129" s="185"/>
      <c r="BG129" s="182">
        <f t="shared" si="315"/>
        <v>9</v>
      </c>
      <c r="BH129" s="164" t="str">
        <f t="shared" si="310"/>
        <v>N/A</v>
      </c>
      <c r="BI129" s="185"/>
      <c r="BJ129" s="182">
        <f t="shared" si="28"/>
        <v>9</v>
      </c>
      <c r="BK129" s="164" t="str">
        <f t="shared" si="311"/>
        <v>N/A</v>
      </c>
      <c r="BL129" s="830"/>
      <c r="BO129" s="167"/>
      <c r="BP129" s="167"/>
      <c r="BQ129" s="167" t="str">
        <f t="shared" si="157"/>
        <v/>
      </c>
      <c r="BR129" s="167">
        <f t="shared" si="198"/>
        <v>9</v>
      </c>
      <c r="BS129" s="167">
        <f t="shared" si="199"/>
        <v>9</v>
      </c>
      <c r="BT129" s="167">
        <f t="shared" si="200"/>
        <v>9</v>
      </c>
      <c r="BW129" s="164"/>
      <c r="BX129" s="164"/>
      <c r="BY129" s="164"/>
      <c r="BZ129" s="164"/>
      <c r="CA129" s="164"/>
      <c r="CB129" s="164"/>
    </row>
    <row r="130" spans="1:85" x14ac:dyDescent="0.25">
      <c r="A130" s="96">
        <v>122</v>
      </c>
      <c r="B130" s="137" t="str">
        <f>D130</f>
        <v>Mat 02</v>
      </c>
      <c r="C130" s="137" t="str">
        <f>B130</f>
        <v>Mat 02</v>
      </c>
      <c r="D130" s="946" t="s">
        <v>479</v>
      </c>
      <c r="E130" s="832" t="s">
        <v>958</v>
      </c>
      <c r="F130" s="933">
        <f>SUM(F131:F133)</f>
        <v>3</v>
      </c>
      <c r="G130" s="933">
        <f t="shared" ref="G130:R130" si="317">SUM(G131:G133)</f>
        <v>3</v>
      </c>
      <c r="H130" s="933">
        <f t="shared" si="317"/>
        <v>3</v>
      </c>
      <c r="I130" s="933">
        <f t="shared" si="317"/>
        <v>3</v>
      </c>
      <c r="J130" s="933">
        <f t="shared" si="317"/>
        <v>3</v>
      </c>
      <c r="K130" s="933">
        <f t="shared" si="317"/>
        <v>3</v>
      </c>
      <c r="L130" s="933">
        <f t="shared" si="317"/>
        <v>3</v>
      </c>
      <c r="M130" s="933">
        <f t="shared" si="317"/>
        <v>3</v>
      </c>
      <c r="N130" s="933">
        <f t="shared" si="317"/>
        <v>3</v>
      </c>
      <c r="O130" s="933">
        <f t="shared" si="317"/>
        <v>3</v>
      </c>
      <c r="P130" s="933">
        <f t="shared" si="317"/>
        <v>3</v>
      </c>
      <c r="Q130" s="933">
        <f t="shared" ref="Q130" si="318">SUM(Q131:Q133)</f>
        <v>3</v>
      </c>
      <c r="R130" s="933">
        <f t="shared" si="317"/>
        <v>3</v>
      </c>
      <c r="T130" s="963">
        <f t="shared" si="298"/>
        <v>3</v>
      </c>
      <c r="U130" s="222"/>
      <c r="V130" s="230"/>
      <c r="W130" s="230"/>
      <c r="X130" s="230">
        <f>'Manuell filtrering og justering'!E60</f>
        <v>0</v>
      </c>
      <c r="Y130" s="230"/>
      <c r="Z130" s="958">
        <f t="shared" ref="Z130" si="319">SUM(Z131:Z133)</f>
        <v>3</v>
      </c>
      <c r="AA130" s="963">
        <f t="shared" si="300"/>
        <v>0</v>
      </c>
      <c r="AB130" s="1067">
        <f>SUM(AB131:AB133)</f>
        <v>3</v>
      </c>
      <c r="AD130" s="171">
        <f t="shared" si="301"/>
        <v>2.4285714285714289E-2</v>
      </c>
      <c r="AE130" s="921">
        <f>SUM(AE131:AE133)</f>
        <v>0</v>
      </c>
      <c r="AF130" s="921">
        <f t="shared" ref="AF130" si="320">SUM(AF131:AF133)</f>
        <v>0</v>
      </c>
      <c r="AG130" s="921">
        <f t="shared" ref="AG130" si="321">SUM(AG131:AG133)</f>
        <v>0</v>
      </c>
      <c r="AI130" s="958">
        <f t="shared" ref="AI130" si="322">SUM(AI131:AI133)</f>
        <v>0</v>
      </c>
      <c r="AJ130" s="958">
        <f t="shared" ref="AJ130" si="323">SUM(AJ131:AJ133)</f>
        <v>0</v>
      </c>
      <c r="AK130" s="958">
        <f t="shared" ref="AK130" si="324">SUM(AK131:AK133)</f>
        <v>0</v>
      </c>
      <c r="AM130" s="292"/>
      <c r="AN130" s="293"/>
      <c r="AO130" s="293"/>
      <c r="AP130" s="293"/>
      <c r="AQ130" s="294"/>
      <c r="AR130" s="139"/>
      <c r="AS130" s="292"/>
      <c r="AT130" s="293"/>
      <c r="AU130" s="293"/>
      <c r="AV130" s="293"/>
      <c r="AW130" s="294"/>
      <c r="AY130" s="708"/>
      <c r="AZ130" s="709"/>
      <c r="BA130" s="709"/>
      <c r="BB130" s="709"/>
      <c r="BC130" s="717"/>
      <c r="BD130" s="182">
        <f t="shared" ref="BD130:BD133" si="325">IF(BC130=0,9,IF(AI130&gt;=BC130,5,IF(AI130&gt;=BB130,4,IF(AI130&gt;=BA130,3,IF(AI130&gt;=AZ130,2,IF(AI130&lt;AY130,0,1))))))</f>
        <v>9</v>
      </c>
      <c r="BE130" s="164" t="str">
        <f t="shared" si="308"/>
        <v>N/A</v>
      </c>
      <c r="BF130" s="185"/>
      <c r="BG130" s="182">
        <f t="shared" si="309"/>
        <v>9</v>
      </c>
      <c r="BH130" s="164" t="str">
        <f t="shared" si="310"/>
        <v>N/A</v>
      </c>
      <c r="BI130" s="185"/>
      <c r="BJ130" s="182">
        <f t="shared" ref="BJ130:BJ133" si="326">IF(BC130=0,9,IF(AK130&gt;=BC130,5,IF(AK130&gt;=BB130,4,IF(AK130&gt;=BA130,3,IF(AK130&gt;=AZ130,2,IF(AK130&lt;AY130,0,1))))))</f>
        <v>9</v>
      </c>
      <c r="BK130" s="164" t="str">
        <f t="shared" si="311"/>
        <v>N/A</v>
      </c>
      <c r="BL130" s="185"/>
      <c r="BO130" s="167"/>
      <c r="BP130" s="167"/>
      <c r="BQ130" s="167" t="str">
        <f t="shared" si="157"/>
        <v/>
      </c>
      <c r="BR130" s="167">
        <f t="shared" si="198"/>
        <v>9</v>
      </c>
      <c r="BS130" s="167">
        <f t="shared" si="199"/>
        <v>9</v>
      </c>
      <c r="BT130" s="167">
        <f t="shared" si="200"/>
        <v>9</v>
      </c>
      <c r="BW130" s="164"/>
      <c r="BX130" s="164"/>
      <c r="BY130" s="164"/>
      <c r="BZ130" s="164"/>
      <c r="CA130" s="164"/>
      <c r="CB130" s="164"/>
    </row>
    <row r="131" spans="1:85" x14ac:dyDescent="0.25">
      <c r="A131" s="96">
        <v>123</v>
      </c>
      <c r="B131" s="137"/>
      <c r="C131" s="96" t="str">
        <f t="shared" si="159"/>
        <v>Mat 02</v>
      </c>
      <c r="D131" s="188" t="s">
        <v>694</v>
      </c>
      <c r="E131" s="940" t="str">
        <f>Ene01_Crit1</f>
        <v>Minimum req: absence of environmental toxins (EU taxonomy requirement: criterion 1)</v>
      </c>
      <c r="F131" s="775"/>
      <c r="G131" s="775"/>
      <c r="H131" s="775"/>
      <c r="I131" s="775"/>
      <c r="J131" s="775"/>
      <c r="K131" s="775"/>
      <c r="L131" s="775"/>
      <c r="M131" s="775"/>
      <c r="N131" s="775"/>
      <c r="O131" s="775"/>
      <c r="P131" s="775"/>
      <c r="Q131" s="775"/>
      <c r="R131" s="775"/>
      <c r="T131" s="221">
        <f t="shared" si="298"/>
        <v>0</v>
      </c>
      <c r="U131" s="166"/>
      <c r="V131" s="167"/>
      <c r="W131" s="167"/>
      <c r="X131" s="167"/>
      <c r="Y131" s="168"/>
      <c r="Z131" s="168"/>
      <c r="AA131" s="169">
        <f t="shared" si="300"/>
        <v>0</v>
      </c>
      <c r="AB131" s="170">
        <f>IF($AC$5='Manuell filtrering og justering'!$J$2,Z131,(T131-AA131))</f>
        <v>0</v>
      </c>
      <c r="AD131" s="171">
        <f t="shared" si="301"/>
        <v>0</v>
      </c>
      <c r="AE131" s="171">
        <f t="shared" si="312"/>
        <v>0</v>
      </c>
      <c r="AF131" s="171">
        <f t="shared" si="313"/>
        <v>0</v>
      </c>
      <c r="AG131" s="171">
        <f t="shared" si="314"/>
        <v>0</v>
      </c>
      <c r="AI131" s="172">
        <f>IF(VLOOKUP(E131,'Pre-Assessment Estimator'!$E$11:$Z$225,'Pre-Assessment Estimator'!$G$2,FALSE)&gt;AB131,AB131,VLOOKUP(E131,'Pre-Assessment Estimator'!$E$11:$Z$225,'Pre-Assessment Estimator'!$G$2,FALSE))</f>
        <v>0</v>
      </c>
      <c r="AJ131" s="172">
        <f>IF(VLOOKUP(E131,'Pre-Assessment Estimator'!$E$11:$Z$225,'Pre-Assessment Estimator'!$N$2,FALSE)&gt;AB131,AB131,VLOOKUP(E131,'Pre-Assessment Estimator'!$E$11:$Z$225,'Pre-Assessment Estimator'!$N$2,FALSE))</f>
        <v>0</v>
      </c>
      <c r="AK131" s="172">
        <f>IF(VLOOKUP(E131,'Pre-Assessment Estimator'!$E$11:$Z$225,'Pre-Assessment Estimator'!$U$2,FALSE)&gt;AB131,AB131,VLOOKUP(E131,'Pre-Assessment Estimator'!$E$11:$Z$225,'Pre-Assessment Estimator'!$U$2,FALSE))</f>
        <v>0</v>
      </c>
      <c r="AM131" s="292"/>
      <c r="AN131" s="293"/>
      <c r="AO131" s="293"/>
      <c r="AP131" s="293"/>
      <c r="AQ131" s="294"/>
      <c r="AR131" s="139"/>
      <c r="AS131" s="292"/>
      <c r="AT131" s="293"/>
      <c r="AU131" s="293"/>
      <c r="AV131" s="293"/>
      <c r="AW131" s="294"/>
      <c r="AY131" s="708"/>
      <c r="AZ131" s="709"/>
      <c r="BA131" s="709"/>
      <c r="BB131" s="709"/>
      <c r="BC131" s="717"/>
      <c r="BD131" s="182">
        <f t="shared" si="325"/>
        <v>9</v>
      </c>
      <c r="BE131" s="164" t="str">
        <f t="shared" si="308"/>
        <v>N/A</v>
      </c>
      <c r="BF131" s="185"/>
      <c r="BG131" s="182">
        <f t="shared" si="309"/>
        <v>9</v>
      </c>
      <c r="BH131" s="164" t="str">
        <f t="shared" si="310"/>
        <v>N/A</v>
      </c>
      <c r="BI131" s="185"/>
      <c r="BJ131" s="182">
        <f t="shared" si="326"/>
        <v>9</v>
      </c>
      <c r="BK131" s="164" t="str">
        <f t="shared" si="311"/>
        <v>N/A</v>
      </c>
      <c r="BL131" s="185"/>
      <c r="BO131" s="167"/>
      <c r="BP131" s="167"/>
      <c r="BQ131" s="167" t="str">
        <f t="shared" si="157"/>
        <v/>
      </c>
      <c r="BR131" s="167">
        <f t="shared" si="198"/>
        <v>9</v>
      </c>
      <c r="BS131" s="167">
        <f t="shared" si="199"/>
        <v>9</v>
      </c>
      <c r="BT131" s="167">
        <f t="shared" si="200"/>
        <v>9</v>
      </c>
      <c r="BW131" s="164"/>
      <c r="BX131" s="164"/>
      <c r="BY131" s="164"/>
      <c r="BZ131" s="164"/>
      <c r="CA131" s="164"/>
      <c r="CB131" s="164"/>
    </row>
    <row r="132" spans="1:85" x14ac:dyDescent="0.25">
      <c r="A132" s="96">
        <v>124</v>
      </c>
      <c r="B132" s="96" t="str">
        <f t="shared" ref="B132:B133" si="327">$D$130&amp;D132</f>
        <v>Mat 02b</v>
      </c>
      <c r="C132" s="96" t="str">
        <f t="shared" si="159"/>
        <v>Mat 02</v>
      </c>
      <c r="D132" s="188" t="s">
        <v>697</v>
      </c>
      <c r="E132" s="1124" t="s">
        <v>651</v>
      </c>
      <c r="F132" s="775">
        <v>1</v>
      </c>
      <c r="G132" s="775">
        <v>1</v>
      </c>
      <c r="H132" s="775">
        <v>1</v>
      </c>
      <c r="I132" s="775">
        <v>1</v>
      </c>
      <c r="J132" s="775">
        <v>1</v>
      </c>
      <c r="K132" s="775">
        <v>1</v>
      </c>
      <c r="L132" s="775">
        <v>1</v>
      </c>
      <c r="M132" s="775">
        <v>1</v>
      </c>
      <c r="N132" s="775">
        <v>1</v>
      </c>
      <c r="O132" s="775">
        <v>1</v>
      </c>
      <c r="P132" s="775">
        <v>1</v>
      </c>
      <c r="Q132" s="775">
        <v>1</v>
      </c>
      <c r="R132" s="775">
        <v>1</v>
      </c>
      <c r="T132" s="221">
        <f t="shared" si="298"/>
        <v>1</v>
      </c>
      <c r="U132" s="166"/>
      <c r="V132" s="167"/>
      <c r="W132" s="167"/>
      <c r="X132" s="167"/>
      <c r="Y132" s="168"/>
      <c r="Z132" s="168">
        <f>VLOOKUP(B132,'Manuell filtrering og justering'!$A$7:$H$253,'Manuell filtrering og justering'!$H$1,FALSE)</f>
        <v>1</v>
      </c>
      <c r="AA132" s="169">
        <f t="shared" si="300"/>
        <v>0</v>
      </c>
      <c r="AB132" s="170">
        <f>IF($AC$5='Manuell filtrering og justering'!$J$2,Z132,(T132-AA132))</f>
        <v>1</v>
      </c>
      <c r="AD132" s="171">
        <f t="shared" si="301"/>
        <v>8.0952380952380963E-3</v>
      </c>
      <c r="AE132" s="171">
        <f t="shared" si="312"/>
        <v>0</v>
      </c>
      <c r="AF132" s="171">
        <f t="shared" si="313"/>
        <v>0</v>
      </c>
      <c r="AG132" s="171">
        <f t="shared" si="314"/>
        <v>0</v>
      </c>
      <c r="AI132" s="172">
        <f>IF(VLOOKUP(E132,'Pre-Assessment Estimator'!$E$11:$Z$225,'Pre-Assessment Estimator'!$G$2,FALSE)&gt;AB132,AB132,VLOOKUP(E132,'Pre-Assessment Estimator'!$E$11:$Z$225,'Pre-Assessment Estimator'!$G$2,FALSE))</f>
        <v>0</v>
      </c>
      <c r="AJ132" s="172">
        <f>IF(VLOOKUP(E132,'Pre-Assessment Estimator'!$E$11:$Z$225,'Pre-Assessment Estimator'!$N$2,FALSE)&gt;AB132,AB132,VLOOKUP(E132,'Pre-Assessment Estimator'!$E$11:$Z$225,'Pre-Assessment Estimator'!$N$2,FALSE))</f>
        <v>0</v>
      </c>
      <c r="AK132" s="172">
        <f>IF(VLOOKUP(E132,'Pre-Assessment Estimator'!$E$11:$Z$225,'Pre-Assessment Estimator'!$U$2,FALSE)&gt;AB132,AB132,VLOOKUP(E132,'Pre-Assessment Estimator'!$E$11:$Z$225,'Pre-Assessment Estimator'!$U$2,FALSE))</f>
        <v>0</v>
      </c>
      <c r="AM132" s="292"/>
      <c r="AN132" s="293"/>
      <c r="AO132" s="293"/>
      <c r="AP132" s="293"/>
      <c r="AQ132" s="294"/>
      <c r="AR132" s="139"/>
      <c r="AS132" s="292"/>
      <c r="AT132" s="293"/>
      <c r="AU132" s="293"/>
      <c r="AV132" s="293"/>
      <c r="AW132" s="294"/>
      <c r="AY132" s="708"/>
      <c r="AZ132" s="709"/>
      <c r="BA132" s="709"/>
      <c r="BB132" s="709"/>
      <c r="BC132" s="717"/>
      <c r="BD132" s="182">
        <f t="shared" si="325"/>
        <v>9</v>
      </c>
      <c r="BE132" s="164" t="str">
        <f t="shared" si="308"/>
        <v>N/A</v>
      </c>
      <c r="BF132" s="185"/>
      <c r="BG132" s="182">
        <f t="shared" si="309"/>
        <v>9</v>
      </c>
      <c r="BH132" s="164" t="str">
        <f t="shared" si="310"/>
        <v>N/A</v>
      </c>
      <c r="BI132" s="185"/>
      <c r="BJ132" s="182">
        <f t="shared" si="326"/>
        <v>9</v>
      </c>
      <c r="BK132" s="164" t="str">
        <f t="shared" si="311"/>
        <v>N/A</v>
      </c>
      <c r="BL132" s="185"/>
      <c r="BO132" s="167"/>
      <c r="BP132" s="167"/>
      <c r="BQ132" s="167" t="str">
        <f t="shared" si="157"/>
        <v/>
      </c>
      <c r="BR132" s="167">
        <f t="shared" si="198"/>
        <v>9</v>
      </c>
      <c r="BS132" s="167">
        <f t="shared" si="199"/>
        <v>9</v>
      </c>
      <c r="BT132" s="167">
        <f t="shared" si="200"/>
        <v>9</v>
      </c>
      <c r="BW132" s="164"/>
      <c r="BX132" s="164"/>
      <c r="BY132" s="164"/>
      <c r="BZ132" s="164"/>
      <c r="CA132" s="164"/>
      <c r="CB132" s="164"/>
    </row>
    <row r="133" spans="1:85" x14ac:dyDescent="0.25">
      <c r="A133" s="96">
        <v>125</v>
      </c>
      <c r="B133" s="96" t="str">
        <f t="shared" si="327"/>
        <v>Mat 02c</v>
      </c>
      <c r="C133" s="96" t="str">
        <f t="shared" si="159"/>
        <v>Mat 02</v>
      </c>
      <c r="D133" s="188" t="s">
        <v>698</v>
      </c>
      <c r="E133" s="1124" t="s">
        <v>652</v>
      </c>
      <c r="F133" s="775">
        <v>2</v>
      </c>
      <c r="G133" s="775">
        <v>2</v>
      </c>
      <c r="H133" s="775">
        <v>2</v>
      </c>
      <c r="I133" s="775">
        <v>2</v>
      </c>
      <c r="J133" s="775">
        <v>2</v>
      </c>
      <c r="K133" s="775">
        <v>2</v>
      </c>
      <c r="L133" s="775">
        <v>2</v>
      </c>
      <c r="M133" s="775">
        <v>2</v>
      </c>
      <c r="N133" s="775">
        <v>2</v>
      </c>
      <c r="O133" s="775">
        <v>2</v>
      </c>
      <c r="P133" s="775">
        <v>2</v>
      </c>
      <c r="Q133" s="775">
        <v>2</v>
      </c>
      <c r="R133" s="775">
        <v>2</v>
      </c>
      <c r="T133" s="221">
        <f t="shared" si="298"/>
        <v>2</v>
      </c>
      <c r="U133" s="166"/>
      <c r="V133" s="167"/>
      <c r="W133" s="167"/>
      <c r="X133" s="167"/>
      <c r="Y133" s="168"/>
      <c r="Z133" s="168">
        <f>VLOOKUP(B133,'Manuell filtrering og justering'!$A$7:$H$253,'Manuell filtrering og justering'!$H$1,FALSE)</f>
        <v>2</v>
      </c>
      <c r="AA133" s="169">
        <f t="shared" si="300"/>
        <v>0</v>
      </c>
      <c r="AB133" s="170">
        <f>IF($AC$5='Manuell filtrering og justering'!$J$2,Z133,(T133-AA133))</f>
        <v>2</v>
      </c>
      <c r="AD133" s="171">
        <f t="shared" si="301"/>
        <v>1.6190476190476193E-2</v>
      </c>
      <c r="AE133" s="171">
        <f t="shared" si="312"/>
        <v>0</v>
      </c>
      <c r="AF133" s="171">
        <f t="shared" si="313"/>
        <v>0</v>
      </c>
      <c r="AG133" s="171">
        <f t="shared" si="314"/>
        <v>0</v>
      </c>
      <c r="AI133" s="172">
        <f>IF(VLOOKUP(E133,'Pre-Assessment Estimator'!$E$11:$Z$225,'Pre-Assessment Estimator'!$G$2,FALSE)&gt;AB133,AB133,VLOOKUP(E133,'Pre-Assessment Estimator'!$E$11:$Z$225,'Pre-Assessment Estimator'!$G$2,FALSE))</f>
        <v>0</v>
      </c>
      <c r="AJ133" s="172">
        <f>IF(VLOOKUP(E133,'Pre-Assessment Estimator'!$E$11:$Z$225,'Pre-Assessment Estimator'!$N$2,FALSE)&gt;AB133,AB133,VLOOKUP(E133,'Pre-Assessment Estimator'!$E$11:$Z$225,'Pre-Assessment Estimator'!$N$2,FALSE))</f>
        <v>0</v>
      </c>
      <c r="AK133" s="172">
        <f>IF(VLOOKUP(E133,'Pre-Assessment Estimator'!$E$11:$Z$225,'Pre-Assessment Estimator'!$U$2,FALSE)&gt;AB133,AB133,VLOOKUP(E133,'Pre-Assessment Estimator'!$E$11:$Z$225,'Pre-Assessment Estimator'!$U$2,FALSE))</f>
        <v>0</v>
      </c>
      <c r="AM133" s="292"/>
      <c r="AN133" s="293"/>
      <c r="AO133" s="293"/>
      <c r="AP133" s="293"/>
      <c r="AQ133" s="294"/>
      <c r="AR133" s="139"/>
      <c r="AS133" s="292"/>
      <c r="AT133" s="293"/>
      <c r="AU133" s="293"/>
      <c r="AV133" s="293"/>
      <c r="AW133" s="294"/>
      <c r="AY133" s="708"/>
      <c r="AZ133" s="709"/>
      <c r="BA133" s="709"/>
      <c r="BB133" s="709"/>
      <c r="BC133" s="717"/>
      <c r="BD133" s="182">
        <f t="shared" si="325"/>
        <v>9</v>
      </c>
      <c r="BE133" s="164" t="str">
        <f t="shared" si="308"/>
        <v>N/A</v>
      </c>
      <c r="BF133" s="185"/>
      <c r="BG133" s="182">
        <f t="shared" si="309"/>
        <v>9</v>
      </c>
      <c r="BH133" s="164" t="str">
        <f t="shared" si="310"/>
        <v>N/A</v>
      </c>
      <c r="BI133" s="185"/>
      <c r="BJ133" s="182">
        <f t="shared" si="326"/>
        <v>9</v>
      </c>
      <c r="BK133" s="164" t="str">
        <f t="shared" si="311"/>
        <v>N/A</v>
      </c>
      <c r="BL133" s="185"/>
      <c r="BO133" s="167"/>
      <c r="BP133" s="167"/>
      <c r="BQ133" s="167" t="str">
        <f t="shared" si="157"/>
        <v/>
      </c>
      <c r="BR133" s="167">
        <f t="shared" si="198"/>
        <v>9</v>
      </c>
      <c r="BS133" s="167">
        <f t="shared" si="199"/>
        <v>9</v>
      </c>
      <c r="BT133" s="167">
        <f t="shared" si="200"/>
        <v>9</v>
      </c>
      <c r="BW133" s="164"/>
      <c r="BX133" s="164"/>
      <c r="BY133" s="164"/>
      <c r="BZ133" s="164"/>
      <c r="CA133" s="164"/>
      <c r="CB133" s="164"/>
    </row>
    <row r="134" spans="1:85" x14ac:dyDescent="0.25">
      <c r="A134" s="96">
        <v>126</v>
      </c>
      <c r="B134" s="137" t="str">
        <f>D134</f>
        <v>Mat 03</v>
      </c>
      <c r="C134" s="137" t="str">
        <f>B134</f>
        <v>Mat 03</v>
      </c>
      <c r="D134" s="946" t="s">
        <v>175</v>
      </c>
      <c r="E134" s="832" t="s">
        <v>466</v>
      </c>
      <c r="F134" s="933">
        <f>SUM(F135:F137)</f>
        <v>3</v>
      </c>
      <c r="G134" s="933">
        <f t="shared" ref="G134:R134" si="328">SUM(G135:G137)</f>
        <v>3</v>
      </c>
      <c r="H134" s="933">
        <f t="shared" si="328"/>
        <v>3</v>
      </c>
      <c r="I134" s="933">
        <f t="shared" si="328"/>
        <v>3</v>
      </c>
      <c r="J134" s="933">
        <f t="shared" si="328"/>
        <v>3</v>
      </c>
      <c r="K134" s="933">
        <f t="shared" si="328"/>
        <v>3</v>
      </c>
      <c r="L134" s="933">
        <f t="shared" si="328"/>
        <v>3</v>
      </c>
      <c r="M134" s="933">
        <f t="shared" si="328"/>
        <v>3</v>
      </c>
      <c r="N134" s="933">
        <f t="shared" si="328"/>
        <v>3</v>
      </c>
      <c r="O134" s="933">
        <f t="shared" si="328"/>
        <v>3</v>
      </c>
      <c r="P134" s="933">
        <f t="shared" si="328"/>
        <v>3</v>
      </c>
      <c r="Q134" s="933">
        <f t="shared" ref="Q134" si="329">SUM(Q135:Q137)</f>
        <v>3</v>
      </c>
      <c r="R134" s="933">
        <f t="shared" si="328"/>
        <v>3</v>
      </c>
      <c r="S134" s="667"/>
      <c r="T134" s="963">
        <f t="shared" si="298"/>
        <v>3</v>
      </c>
      <c r="U134" s="222"/>
      <c r="V134" s="230"/>
      <c r="W134" s="230"/>
      <c r="X134" s="230">
        <f>'Manuell filtrering og justering'!E61</f>
        <v>0</v>
      </c>
      <c r="Y134" s="230"/>
      <c r="Z134" s="958">
        <f t="shared" ref="Z134" si="330">SUM(Z135:Z137)</f>
        <v>3</v>
      </c>
      <c r="AA134" s="963">
        <f t="shared" si="300"/>
        <v>0</v>
      </c>
      <c r="AB134" s="1067">
        <f>SUM(AB135:AB137)</f>
        <v>3</v>
      </c>
      <c r="AD134" s="171">
        <f t="shared" si="301"/>
        <v>2.4285714285714289E-2</v>
      </c>
      <c r="AE134" s="921">
        <f>SUM(AE135:AE137)</f>
        <v>0</v>
      </c>
      <c r="AF134" s="921">
        <f t="shared" ref="AF134" si="331">SUM(AF135:AF137)</f>
        <v>0</v>
      </c>
      <c r="AG134" s="921">
        <f t="shared" ref="AG134" si="332">SUM(AG135:AG137)</f>
        <v>0</v>
      </c>
      <c r="AI134" s="958">
        <f t="shared" ref="AI134" si="333">SUM(AI135:AI137)</f>
        <v>0</v>
      </c>
      <c r="AJ134" s="958">
        <f t="shared" ref="AJ134" si="334">SUM(AJ135:AJ137)</f>
        <v>0</v>
      </c>
      <c r="AK134" s="958">
        <f t="shared" ref="AK134" si="335">SUM(AK135:AK137)</f>
        <v>0</v>
      </c>
      <c r="AM134" s="292"/>
      <c r="AN134" s="293"/>
      <c r="AO134" s="293"/>
      <c r="AP134" s="293"/>
      <c r="AQ134" s="294"/>
      <c r="AR134" s="139"/>
      <c r="AS134" s="292"/>
      <c r="AT134" s="293"/>
      <c r="AU134" s="293"/>
      <c r="AV134" s="293"/>
      <c r="AW134" s="294"/>
      <c r="AY134" s="188"/>
      <c r="AZ134" s="189"/>
      <c r="BA134" s="189"/>
      <c r="BB134" s="189"/>
      <c r="BC134" s="717"/>
      <c r="BD134" s="182">
        <f t="shared" ref="BD134:BD147" si="336">IF(BC134=0,9,IF(AI134&gt;=BC134,5,IF(AI134&gt;=BB134,4,IF(AI134&gt;=BA134,3,IF(AI134&gt;=AZ134,2,IF(AI134&lt;AY134,0,1))))))</f>
        <v>9</v>
      </c>
      <c r="BE134" s="164" t="str">
        <f t="shared" si="308"/>
        <v>N/A</v>
      </c>
      <c r="BF134" s="185"/>
      <c r="BG134" s="182">
        <f t="shared" ref="BG134:BG147" si="337">IF(BC134=0,9,IF(AJ134&gt;=BC134,5,IF(AJ134&gt;=BB134,4,IF(AJ134&gt;=BA134,3,IF(AJ134&gt;=AZ134,2,IF(AJ134&lt;AY134,0,1))))))</f>
        <v>9</v>
      </c>
      <c r="BH134" s="164" t="str">
        <f t="shared" si="310"/>
        <v>N/A</v>
      </c>
      <c r="BI134" s="185"/>
      <c r="BJ134" s="182">
        <f t="shared" ref="BJ134:BJ147" si="338">IF(BC134=0,9,IF(AK134&gt;=BC134,5,IF(AK134&gt;=BB134,4,IF(AK134&gt;=BA134,3,IF(AK134&gt;=AZ134,2,IF(AK134&lt;AY134,0,1))))))</f>
        <v>9</v>
      </c>
      <c r="BK134" s="164" t="str">
        <f t="shared" si="311"/>
        <v>N/A</v>
      </c>
      <c r="BL134" s="185"/>
      <c r="BO134" s="167"/>
      <c r="BP134" s="167"/>
      <c r="BQ134" s="167" t="str">
        <f t="shared" si="157"/>
        <v/>
      </c>
      <c r="BR134" s="167">
        <f t="shared" si="198"/>
        <v>9</v>
      </c>
      <c r="BS134" s="167">
        <f t="shared" si="199"/>
        <v>9</v>
      </c>
      <c r="BT134" s="167">
        <f t="shared" si="200"/>
        <v>9</v>
      </c>
      <c r="BW134" s="167" t="str">
        <f>D134</f>
        <v>Mat 03</v>
      </c>
      <c r="BX134" s="167" t="str">
        <f>IFERROR(VLOOKUP($E134,'Pre-Assessment Estimator'!$E$11:$AB$225,'Pre-Assessment Estimator'!AB$2,FALSE),"")</f>
        <v>N/A</v>
      </c>
      <c r="BY134" s="167">
        <f>IFERROR(VLOOKUP($E134,'Pre-Assessment Estimator'!$E$11:$AI$225,'Pre-Assessment Estimator'!AI$2,FALSE),"")</f>
        <v>0</v>
      </c>
      <c r="BZ134" s="167">
        <f>IFERROR(VLOOKUP($BX134,$E$292:$H$325,F$290,FALSE),"")</f>
        <v>1</v>
      </c>
      <c r="CA134" s="167">
        <f>IFERROR(VLOOKUP($BX134,$E$292:$H$325,G$290,FALSE),"")</f>
        <v>0</v>
      </c>
      <c r="CB134" s="167"/>
      <c r="CC134" s="96" t="s">
        <v>431</v>
      </c>
    </row>
    <row r="135" spans="1:85" x14ac:dyDescent="0.25">
      <c r="A135" s="96">
        <v>127</v>
      </c>
      <c r="C135" s="96" t="str">
        <f t="shared" si="159"/>
        <v>Mat 03</v>
      </c>
      <c r="D135" s="188" t="s">
        <v>694</v>
      </c>
      <c r="E135" s="945" t="s">
        <v>990</v>
      </c>
      <c r="F135" s="775"/>
      <c r="G135" s="775"/>
      <c r="H135" s="775"/>
      <c r="I135" s="775"/>
      <c r="J135" s="775"/>
      <c r="K135" s="775"/>
      <c r="L135" s="775"/>
      <c r="M135" s="775"/>
      <c r="N135" s="775"/>
      <c r="O135" s="775"/>
      <c r="P135" s="775"/>
      <c r="Q135" s="775"/>
      <c r="R135" s="775"/>
      <c r="S135" s="667"/>
      <c r="T135" s="221">
        <f t="shared" si="298"/>
        <v>0</v>
      </c>
      <c r="U135" s="166"/>
      <c r="V135" s="167"/>
      <c r="W135" s="167"/>
      <c r="X135" s="167"/>
      <c r="Y135" s="168"/>
      <c r="Z135" s="168"/>
      <c r="AA135" s="169">
        <f t="shared" si="300"/>
        <v>0</v>
      </c>
      <c r="AB135" s="170">
        <f>IF($AC$5='Manuell filtrering og justering'!$J$2,Z135,(T135-AA135))</f>
        <v>0</v>
      </c>
      <c r="AD135" s="171">
        <f t="shared" si="301"/>
        <v>0</v>
      </c>
      <c r="AE135" s="171">
        <f t="shared" si="312"/>
        <v>0</v>
      </c>
      <c r="AF135" s="171">
        <f t="shared" si="313"/>
        <v>0</v>
      </c>
      <c r="AG135" s="171">
        <f t="shared" si="314"/>
        <v>0</v>
      </c>
      <c r="AI135" s="172">
        <f>IF(VLOOKUP(E135,'Pre-Assessment Estimator'!$E$11:$Z$225,'Pre-Assessment Estimator'!$G$2,FALSE)&gt;AB135,AB135,VLOOKUP(E135,'Pre-Assessment Estimator'!$E$11:$Z$225,'Pre-Assessment Estimator'!$G$2,FALSE))</f>
        <v>0</v>
      </c>
      <c r="AJ135" s="172">
        <f>IF(VLOOKUP(E135,'Pre-Assessment Estimator'!$E$11:$Z$225,'Pre-Assessment Estimator'!$N$2,FALSE)&gt;AB135,AB135,VLOOKUP(E135,'Pre-Assessment Estimator'!$E$11:$Z$225,'Pre-Assessment Estimator'!$N$2,FALSE))</f>
        <v>0</v>
      </c>
      <c r="AK135" s="172">
        <f>IF(VLOOKUP(E135,'Pre-Assessment Estimator'!$E$11:$Z$225,'Pre-Assessment Estimator'!$U$2,FALSE)&gt;AB135,AB135,VLOOKUP(E135,'Pre-Assessment Estimator'!$E$11:$Z$225,'Pre-Assessment Estimator'!$U$2,FALSE))</f>
        <v>0</v>
      </c>
      <c r="AM135" s="292"/>
      <c r="AN135" s="293"/>
      <c r="AO135" s="293"/>
      <c r="AP135" s="293"/>
      <c r="AQ135" s="294"/>
      <c r="AR135" s="139"/>
      <c r="AS135" s="292"/>
      <c r="AT135" s="293"/>
      <c r="AU135" s="293"/>
      <c r="AV135" s="293"/>
      <c r="AW135" s="294"/>
      <c r="AY135" s="188"/>
      <c r="AZ135" s="189"/>
      <c r="BA135" s="189"/>
      <c r="BB135" s="189"/>
      <c r="BC135" s="717"/>
      <c r="BD135" s="182">
        <f t="shared" si="336"/>
        <v>9</v>
      </c>
      <c r="BE135" s="164" t="str">
        <f t="shared" si="308"/>
        <v>N/A</v>
      </c>
      <c r="BF135" s="185"/>
      <c r="BG135" s="182">
        <f t="shared" si="337"/>
        <v>9</v>
      </c>
      <c r="BH135" s="164" t="str">
        <f t="shared" si="310"/>
        <v>N/A</v>
      </c>
      <c r="BI135" s="185"/>
      <c r="BJ135" s="182">
        <f t="shared" si="338"/>
        <v>9</v>
      </c>
      <c r="BK135" s="164" t="str">
        <f t="shared" si="311"/>
        <v>N/A</v>
      </c>
      <c r="BL135" s="185"/>
      <c r="BO135" s="167"/>
      <c r="BP135" s="167"/>
      <c r="BQ135" s="167" t="str">
        <f t="shared" si="157"/>
        <v/>
      </c>
      <c r="BR135" s="167">
        <f t="shared" si="198"/>
        <v>9</v>
      </c>
      <c r="BS135" s="167">
        <f t="shared" si="199"/>
        <v>9</v>
      </c>
      <c r="BT135" s="167">
        <f t="shared" si="200"/>
        <v>9</v>
      </c>
      <c r="BW135" s="167"/>
      <c r="BX135" s="167"/>
      <c r="BY135" s="167"/>
      <c r="BZ135" s="167"/>
      <c r="CA135" s="99"/>
      <c r="CB135" s="167"/>
    </row>
    <row r="136" spans="1:85" x14ac:dyDescent="0.25">
      <c r="A136" s="96">
        <v>128</v>
      </c>
      <c r="B136" s="96" t="str">
        <f t="shared" ref="B136:B137" si="339">$D$134&amp;D136</f>
        <v>Mat 03b</v>
      </c>
      <c r="C136" s="96" t="str">
        <f t="shared" si="159"/>
        <v>Mat 03</v>
      </c>
      <c r="D136" s="188" t="s">
        <v>697</v>
      </c>
      <c r="E136" s="1124" t="s">
        <v>654</v>
      </c>
      <c r="F136" s="775">
        <v>1</v>
      </c>
      <c r="G136" s="775">
        <v>1</v>
      </c>
      <c r="H136" s="775">
        <v>1</v>
      </c>
      <c r="I136" s="775">
        <v>1</v>
      </c>
      <c r="J136" s="775">
        <v>1</v>
      </c>
      <c r="K136" s="775">
        <v>1</v>
      </c>
      <c r="L136" s="775">
        <v>1</v>
      </c>
      <c r="M136" s="775">
        <v>1</v>
      </c>
      <c r="N136" s="775">
        <v>1</v>
      </c>
      <c r="O136" s="775">
        <v>1</v>
      </c>
      <c r="P136" s="775">
        <v>1</v>
      </c>
      <c r="Q136" s="775">
        <v>1</v>
      </c>
      <c r="R136" s="775">
        <v>1</v>
      </c>
      <c r="S136" s="667"/>
      <c r="T136" s="221">
        <f t="shared" si="298"/>
        <v>1</v>
      </c>
      <c r="U136" s="166"/>
      <c r="V136" s="167"/>
      <c r="W136" s="167"/>
      <c r="X136" s="167"/>
      <c r="Y136" s="168"/>
      <c r="Z136" s="168">
        <f>VLOOKUP(B136,'Manuell filtrering og justering'!$A$7:$H$253,'Manuell filtrering og justering'!$H$1,FALSE)</f>
        <v>1</v>
      </c>
      <c r="AA136" s="169">
        <f t="shared" si="300"/>
        <v>0</v>
      </c>
      <c r="AB136" s="170">
        <f>IF($AC$5='Manuell filtrering og justering'!$J$2,Z136,(T136-AA136))</f>
        <v>1</v>
      </c>
      <c r="AD136" s="171">
        <f t="shared" si="301"/>
        <v>8.0952380952380963E-3</v>
      </c>
      <c r="AE136" s="171">
        <f t="shared" si="312"/>
        <v>0</v>
      </c>
      <c r="AF136" s="171">
        <f t="shared" si="313"/>
        <v>0</v>
      </c>
      <c r="AG136" s="171">
        <f t="shared" si="314"/>
        <v>0</v>
      </c>
      <c r="AI136" s="172">
        <f>IF(VLOOKUP(E136,'Pre-Assessment Estimator'!$E$11:$Z$225,'Pre-Assessment Estimator'!$G$2,FALSE)&gt;AB136,AB136,VLOOKUP(E136,'Pre-Assessment Estimator'!$E$11:$Z$225,'Pre-Assessment Estimator'!$G$2,FALSE))</f>
        <v>0</v>
      </c>
      <c r="AJ136" s="172">
        <f>IF(VLOOKUP(E136,'Pre-Assessment Estimator'!$E$11:$Z$225,'Pre-Assessment Estimator'!$N$2,FALSE)&gt;AB136,AB136,VLOOKUP(E136,'Pre-Assessment Estimator'!$E$11:$Z$225,'Pre-Assessment Estimator'!$N$2,FALSE))</f>
        <v>0</v>
      </c>
      <c r="AK136" s="172">
        <f>IF(VLOOKUP(E136,'Pre-Assessment Estimator'!$E$11:$Z$225,'Pre-Assessment Estimator'!$U$2,FALSE)&gt;AB136,AB136,VLOOKUP(E136,'Pre-Assessment Estimator'!$E$11:$Z$225,'Pre-Assessment Estimator'!$U$2,FALSE))</f>
        <v>0</v>
      </c>
      <c r="AM136" s="292"/>
      <c r="AN136" s="293"/>
      <c r="AO136" s="293"/>
      <c r="AP136" s="293"/>
      <c r="AQ136" s="294"/>
      <c r="AR136" s="139"/>
      <c r="AS136" s="292"/>
      <c r="AT136" s="293"/>
      <c r="AU136" s="293"/>
      <c r="AV136" s="293"/>
      <c r="AW136" s="294"/>
      <c r="AY136" s="188"/>
      <c r="AZ136" s="189"/>
      <c r="BA136" s="189"/>
      <c r="BB136" s="189"/>
      <c r="BC136" s="717"/>
      <c r="BD136" s="182">
        <f t="shared" si="336"/>
        <v>9</v>
      </c>
      <c r="BE136" s="164" t="str">
        <f t="shared" si="308"/>
        <v>N/A</v>
      </c>
      <c r="BF136" s="185"/>
      <c r="BG136" s="182">
        <f t="shared" si="337"/>
        <v>9</v>
      </c>
      <c r="BH136" s="164" t="str">
        <f t="shared" si="310"/>
        <v>N/A</v>
      </c>
      <c r="BI136" s="185"/>
      <c r="BJ136" s="182">
        <f t="shared" si="338"/>
        <v>9</v>
      </c>
      <c r="BK136" s="164" t="str">
        <f t="shared" si="311"/>
        <v>N/A</v>
      </c>
      <c r="BL136" s="185"/>
      <c r="BO136" s="167"/>
      <c r="BP136" s="167"/>
      <c r="BQ136" s="167" t="str">
        <f t="shared" si="157"/>
        <v/>
      </c>
      <c r="BR136" s="167">
        <f t="shared" si="198"/>
        <v>9</v>
      </c>
      <c r="BS136" s="167">
        <f t="shared" si="199"/>
        <v>9</v>
      </c>
      <c r="BT136" s="167">
        <f t="shared" si="200"/>
        <v>9</v>
      </c>
      <c r="BW136" s="167"/>
      <c r="BX136" s="167"/>
      <c r="BY136" s="167"/>
      <c r="BZ136" s="167"/>
      <c r="CA136" s="99"/>
      <c r="CB136" s="167"/>
    </row>
    <row r="137" spans="1:85" x14ac:dyDescent="0.25">
      <c r="A137" s="96">
        <v>129</v>
      </c>
      <c r="B137" s="96" t="str">
        <f t="shared" si="339"/>
        <v>Mat 03c</v>
      </c>
      <c r="C137" s="96" t="str">
        <f t="shared" si="159"/>
        <v>Mat 03</v>
      </c>
      <c r="D137" s="188" t="s">
        <v>698</v>
      </c>
      <c r="E137" s="1124" t="s">
        <v>655</v>
      </c>
      <c r="F137" s="775">
        <v>2</v>
      </c>
      <c r="G137" s="775">
        <v>2</v>
      </c>
      <c r="H137" s="775">
        <v>2</v>
      </c>
      <c r="I137" s="775">
        <v>2</v>
      </c>
      <c r="J137" s="775">
        <v>2</v>
      </c>
      <c r="K137" s="775">
        <v>2</v>
      </c>
      <c r="L137" s="775">
        <v>2</v>
      </c>
      <c r="M137" s="775">
        <v>2</v>
      </c>
      <c r="N137" s="775">
        <v>2</v>
      </c>
      <c r="O137" s="775">
        <v>2</v>
      </c>
      <c r="P137" s="775">
        <v>2</v>
      </c>
      <c r="Q137" s="775">
        <v>2</v>
      </c>
      <c r="R137" s="775">
        <v>2</v>
      </c>
      <c r="S137" s="667"/>
      <c r="T137" s="221">
        <f t="shared" si="298"/>
        <v>2</v>
      </c>
      <c r="U137" s="166"/>
      <c r="V137" s="167"/>
      <c r="W137" s="167"/>
      <c r="X137" s="167"/>
      <c r="Y137" s="168"/>
      <c r="Z137" s="168">
        <f>VLOOKUP(B137,'Manuell filtrering og justering'!$A$7:$H$253,'Manuell filtrering og justering'!$H$1,FALSE)</f>
        <v>2</v>
      </c>
      <c r="AA137" s="169">
        <f t="shared" si="300"/>
        <v>0</v>
      </c>
      <c r="AB137" s="170">
        <f>IF($AC$5='Manuell filtrering og justering'!$J$2,Z137,(T137-AA137))</f>
        <v>2</v>
      </c>
      <c r="AD137" s="171">
        <f t="shared" si="301"/>
        <v>1.6190476190476193E-2</v>
      </c>
      <c r="AE137" s="171">
        <f t="shared" si="312"/>
        <v>0</v>
      </c>
      <c r="AF137" s="171">
        <f t="shared" si="313"/>
        <v>0</v>
      </c>
      <c r="AG137" s="171">
        <f t="shared" si="314"/>
        <v>0</v>
      </c>
      <c r="AI137" s="172">
        <f>IF(VLOOKUP(E137,'Pre-Assessment Estimator'!$E$11:$Z$225,'Pre-Assessment Estimator'!$G$2,FALSE)&gt;AB137,AB137,VLOOKUP(E137,'Pre-Assessment Estimator'!$E$11:$Z$225,'Pre-Assessment Estimator'!$G$2,FALSE))</f>
        <v>0</v>
      </c>
      <c r="AJ137" s="172">
        <f>IF(VLOOKUP(E137,'Pre-Assessment Estimator'!$E$11:$Z$225,'Pre-Assessment Estimator'!$N$2,FALSE)&gt;AB137,AB137,VLOOKUP(E137,'Pre-Assessment Estimator'!$E$11:$Z$225,'Pre-Assessment Estimator'!$N$2,FALSE))</f>
        <v>0</v>
      </c>
      <c r="AK137" s="172">
        <f>IF(VLOOKUP(E137,'Pre-Assessment Estimator'!$E$11:$Z$225,'Pre-Assessment Estimator'!$U$2,FALSE)&gt;AB137,AB137,VLOOKUP(E137,'Pre-Assessment Estimator'!$E$11:$Z$225,'Pre-Assessment Estimator'!$U$2,FALSE))</f>
        <v>0</v>
      </c>
      <c r="AM137" s="292"/>
      <c r="AN137" s="293"/>
      <c r="AO137" s="293"/>
      <c r="AP137" s="293"/>
      <c r="AQ137" s="294"/>
      <c r="AR137" s="139"/>
      <c r="AS137" s="292"/>
      <c r="AT137" s="293"/>
      <c r="AU137" s="293"/>
      <c r="AV137" s="293"/>
      <c r="AW137" s="294"/>
      <c r="AY137" s="188"/>
      <c r="AZ137" s="189"/>
      <c r="BA137" s="189"/>
      <c r="BB137" s="189"/>
      <c r="BC137" s="717"/>
      <c r="BD137" s="182">
        <f t="shared" si="336"/>
        <v>9</v>
      </c>
      <c r="BE137" s="164" t="str">
        <f t="shared" si="308"/>
        <v>N/A</v>
      </c>
      <c r="BF137" s="185"/>
      <c r="BG137" s="182">
        <f t="shared" si="337"/>
        <v>9</v>
      </c>
      <c r="BH137" s="164" t="str">
        <f t="shared" si="310"/>
        <v>N/A</v>
      </c>
      <c r="BI137" s="185"/>
      <c r="BJ137" s="182">
        <f t="shared" si="338"/>
        <v>9</v>
      </c>
      <c r="BK137" s="164" t="str">
        <f t="shared" si="311"/>
        <v>N/A</v>
      </c>
      <c r="BL137" s="185"/>
      <c r="BO137" s="167"/>
      <c r="BP137" s="167"/>
      <c r="BQ137" s="167" t="str">
        <f t="shared" si="157"/>
        <v/>
      </c>
      <c r="BR137" s="167">
        <f t="shared" si="198"/>
        <v>9</v>
      </c>
      <c r="BS137" s="167">
        <f t="shared" si="199"/>
        <v>9</v>
      </c>
      <c r="BT137" s="167">
        <f t="shared" si="200"/>
        <v>9</v>
      </c>
      <c r="BW137" s="167"/>
      <c r="BX137" s="167"/>
      <c r="BY137" s="167"/>
      <c r="BZ137" s="167"/>
      <c r="CA137" s="99"/>
      <c r="CB137" s="167"/>
    </row>
    <row r="138" spans="1:85" x14ac:dyDescent="0.25">
      <c r="A138" s="96">
        <v>130</v>
      </c>
      <c r="B138" s="137" t="str">
        <f>D138</f>
        <v>Mat 05</v>
      </c>
      <c r="C138" s="137" t="str">
        <f>B138</f>
        <v>Mat 05</v>
      </c>
      <c r="D138" s="946" t="s">
        <v>176</v>
      </c>
      <c r="E138" s="832" t="s">
        <v>959</v>
      </c>
      <c r="F138" s="933">
        <f>SUM(F139:F143)</f>
        <v>4</v>
      </c>
      <c r="G138" s="933">
        <f t="shared" ref="G138:R138" si="340">SUM(G139:G143)</f>
        <v>4</v>
      </c>
      <c r="H138" s="933">
        <f t="shared" si="340"/>
        <v>4</v>
      </c>
      <c r="I138" s="933">
        <f t="shared" si="340"/>
        <v>4</v>
      </c>
      <c r="J138" s="933">
        <f t="shared" si="340"/>
        <v>4</v>
      </c>
      <c r="K138" s="933">
        <f t="shared" si="340"/>
        <v>4</v>
      </c>
      <c r="L138" s="933">
        <f t="shared" si="340"/>
        <v>4</v>
      </c>
      <c r="M138" s="933">
        <f t="shared" si="340"/>
        <v>4</v>
      </c>
      <c r="N138" s="933">
        <f t="shared" si="340"/>
        <v>4</v>
      </c>
      <c r="O138" s="933">
        <f t="shared" si="340"/>
        <v>4</v>
      </c>
      <c r="P138" s="933">
        <f t="shared" si="340"/>
        <v>4</v>
      </c>
      <c r="Q138" s="933">
        <f t="shared" ref="Q138" si="341">SUM(Q139:Q143)</f>
        <v>4</v>
      </c>
      <c r="R138" s="933">
        <f t="shared" si="340"/>
        <v>4</v>
      </c>
      <c r="S138" s="667"/>
      <c r="T138" s="963">
        <f t="shared" si="298"/>
        <v>4</v>
      </c>
      <c r="U138" s="222"/>
      <c r="V138" s="230"/>
      <c r="W138" s="230"/>
      <c r="X138" s="230">
        <f>'Manuell filtrering og justering'!E62</f>
        <v>0</v>
      </c>
      <c r="Y138" s="230"/>
      <c r="Z138" s="958">
        <f>SUM(Z139:Z143)</f>
        <v>4</v>
      </c>
      <c r="AA138" s="963">
        <f t="shared" si="300"/>
        <v>0</v>
      </c>
      <c r="AB138" s="1067">
        <f>SUM(AB139:AB143)</f>
        <v>4</v>
      </c>
      <c r="AD138" s="171">
        <f t="shared" si="301"/>
        <v>3.2380952380952385E-2</v>
      </c>
      <c r="AE138" s="921">
        <f>SUM(AE139:AE143)</f>
        <v>0</v>
      </c>
      <c r="AF138" s="921">
        <f>SUM(AF139:AF143)</f>
        <v>0</v>
      </c>
      <c r="AG138" s="921">
        <f>SUM(AG139:AG143)</f>
        <v>0</v>
      </c>
      <c r="AI138" s="958">
        <f>SUM(AI139:AI143)</f>
        <v>0</v>
      </c>
      <c r="AJ138" s="958">
        <f>SUM(AJ139:AJ143)</f>
        <v>0</v>
      </c>
      <c r="AK138" s="958">
        <f>SUM(AK139:AK143)</f>
        <v>0</v>
      </c>
      <c r="AL138" s="96" t="s">
        <v>427</v>
      </c>
      <c r="AM138" s="292"/>
      <c r="AN138" s="293"/>
      <c r="AO138" s="293"/>
      <c r="AP138" s="293"/>
      <c r="AQ138" s="294"/>
      <c r="AR138" s="139"/>
      <c r="AS138" s="292"/>
      <c r="AT138" s="293"/>
      <c r="AU138" s="293"/>
      <c r="AV138" s="293"/>
      <c r="AW138" s="294"/>
      <c r="AY138" s="188"/>
      <c r="AZ138" s="189"/>
      <c r="BA138" s="189"/>
      <c r="BB138" s="189"/>
      <c r="BC138" s="717"/>
      <c r="BD138" s="182">
        <f t="shared" si="336"/>
        <v>9</v>
      </c>
      <c r="BE138" s="164" t="str">
        <f t="shared" si="308"/>
        <v>N/A</v>
      </c>
      <c r="BF138" s="185"/>
      <c r="BG138" s="182">
        <f t="shared" si="337"/>
        <v>9</v>
      </c>
      <c r="BH138" s="164" t="str">
        <f t="shared" si="310"/>
        <v>N/A</v>
      </c>
      <c r="BI138" s="185"/>
      <c r="BJ138" s="182">
        <f t="shared" si="338"/>
        <v>9</v>
      </c>
      <c r="BK138" s="164" t="str">
        <f t="shared" si="311"/>
        <v>N/A</v>
      </c>
      <c r="BL138" s="185"/>
      <c r="BO138" s="167"/>
      <c r="BP138" s="167"/>
      <c r="BQ138" s="167" t="str">
        <f t="shared" si="157"/>
        <v/>
      </c>
      <c r="BR138" s="167">
        <f t="shared" si="198"/>
        <v>9</v>
      </c>
      <c r="BS138" s="167">
        <f t="shared" si="199"/>
        <v>9</v>
      </c>
      <c r="BT138" s="167">
        <f t="shared" si="200"/>
        <v>9</v>
      </c>
      <c r="BW138" s="167" t="str">
        <f>D138</f>
        <v>Mat 05</v>
      </c>
      <c r="BX138" s="167" t="str">
        <f>IFERROR(VLOOKUP($E138,'Pre-Assessment Estimator'!$E$11:$AB$225,'Pre-Assessment Estimator'!AB$2,FALSE),"")</f>
        <v>No</v>
      </c>
      <c r="BY138" s="230" t="str">
        <f>IFERROR(VLOOKUP($E138,'Pre-Assessment Estimator'!$E$11:$AI$225,'Pre-Assessment Estimator'!AI$2,FALSE),"")</f>
        <v>Ja</v>
      </c>
      <c r="BZ138" s="167">
        <f>IFERROR(VLOOKUP($BX138,$E$292:$H$325,F$290,FALSE),"")</f>
        <v>1</v>
      </c>
      <c r="CA138" s="680" t="s">
        <v>432</v>
      </c>
      <c r="CB138" s="167"/>
      <c r="CC138" s="96" t="str">
        <f>IFERROR(VLOOKUP($BX138,$E$292:$H$325,I$290,FALSE),"")</f>
        <v/>
      </c>
      <c r="CD138" s="96" t="s">
        <v>438</v>
      </c>
      <c r="CE138" s="167">
        <f>VLOOKUP(CA138,$CA$4:$CB$5,2,FALSE)</f>
        <v>1</v>
      </c>
      <c r="CG138" s="681">
        <f>IF($BX$5=ais_nei,CE138,IF(AND(CA138=$CA$4,BX138=$CC$4),0,BZ138))</f>
        <v>1</v>
      </c>
    </row>
    <row r="139" spans="1:85" x14ac:dyDescent="0.25">
      <c r="A139" s="96">
        <v>131</v>
      </c>
      <c r="C139" s="96" t="str">
        <f t="shared" si="159"/>
        <v>Mat 05</v>
      </c>
      <c r="D139" s="188" t="s">
        <v>694</v>
      </c>
      <c r="E139" s="940" t="s">
        <v>656</v>
      </c>
      <c r="F139" s="775"/>
      <c r="G139" s="775"/>
      <c r="H139" s="775"/>
      <c r="I139" s="775"/>
      <c r="J139" s="775"/>
      <c r="K139" s="775"/>
      <c r="L139" s="775"/>
      <c r="M139" s="775"/>
      <c r="N139" s="775"/>
      <c r="O139" s="775"/>
      <c r="P139" s="775"/>
      <c r="Q139" s="775"/>
      <c r="R139" s="775"/>
      <c r="S139" s="667"/>
      <c r="T139" s="221">
        <f t="shared" si="298"/>
        <v>0</v>
      </c>
      <c r="U139" s="166"/>
      <c r="V139" s="167"/>
      <c r="W139" s="167"/>
      <c r="X139" s="167"/>
      <c r="Y139" s="168"/>
      <c r="Z139" s="168"/>
      <c r="AA139" s="169">
        <f t="shared" si="300"/>
        <v>0</v>
      </c>
      <c r="AB139" s="170">
        <f>IF($AC$5='Manuell filtrering og justering'!$J$2,Z139,(T139-AA139))</f>
        <v>0</v>
      </c>
      <c r="AD139" s="171">
        <f t="shared" si="301"/>
        <v>0</v>
      </c>
      <c r="AE139" s="171">
        <f t="shared" si="312"/>
        <v>0</v>
      </c>
      <c r="AF139" s="171">
        <f t="shared" si="313"/>
        <v>0</v>
      </c>
      <c r="AG139" s="171">
        <f t="shared" si="314"/>
        <v>0</v>
      </c>
      <c r="AI139" s="172">
        <f>IF(VLOOKUP(E139,'Pre-Assessment Estimator'!$E$11:$Z$225,'Pre-Assessment Estimator'!$G$2,FALSE)&gt;AB139,AB139,VLOOKUP(E139,'Pre-Assessment Estimator'!$E$11:$Z$225,'Pre-Assessment Estimator'!$G$2,FALSE))</f>
        <v>0</v>
      </c>
      <c r="AJ139" s="172">
        <f>IF(VLOOKUP(E139,'Pre-Assessment Estimator'!$E$11:$Z$225,'Pre-Assessment Estimator'!$N$2,FALSE)&gt;AB139,AB139,VLOOKUP(E139,'Pre-Assessment Estimator'!$E$11:$Z$225,'Pre-Assessment Estimator'!$N$2,FALSE))</f>
        <v>0</v>
      </c>
      <c r="AK139" s="172">
        <f>IF(VLOOKUP(E139,'Pre-Assessment Estimator'!$E$11:$Z$225,'Pre-Assessment Estimator'!$U$2,FALSE)&gt;AB139,AB139,VLOOKUP(E139,'Pre-Assessment Estimator'!$E$11:$Z$225,'Pre-Assessment Estimator'!$U$2,FALSE))</f>
        <v>0</v>
      </c>
      <c r="AM139" s="292"/>
      <c r="AN139" s="293"/>
      <c r="AO139" s="293"/>
      <c r="AP139" s="293"/>
      <c r="AQ139" s="294"/>
      <c r="AR139" s="139"/>
      <c r="AS139" s="292"/>
      <c r="AT139" s="293"/>
      <c r="AU139" s="293"/>
      <c r="AV139" s="293"/>
      <c r="AW139" s="294"/>
      <c r="AY139" s="188"/>
      <c r="AZ139" s="189"/>
      <c r="BA139" s="189"/>
      <c r="BB139" s="189"/>
      <c r="BC139" s="717"/>
      <c r="BD139" s="182">
        <f t="shared" si="336"/>
        <v>9</v>
      </c>
      <c r="BE139" s="164" t="str">
        <f t="shared" si="308"/>
        <v>N/A</v>
      </c>
      <c r="BF139" s="185"/>
      <c r="BG139" s="182">
        <f t="shared" si="337"/>
        <v>9</v>
      </c>
      <c r="BH139" s="164" t="str">
        <f t="shared" si="310"/>
        <v>N/A</v>
      </c>
      <c r="BI139" s="185"/>
      <c r="BJ139" s="182">
        <f t="shared" si="338"/>
        <v>9</v>
      </c>
      <c r="BK139" s="164" t="str">
        <f t="shared" si="311"/>
        <v>N/A</v>
      </c>
      <c r="BL139" s="185"/>
      <c r="BO139" s="167"/>
      <c r="BP139" s="167"/>
      <c r="BQ139" s="167" t="str">
        <f t="shared" ref="BQ139:BQ202" si="342">IF(BO139&lt;&gt;"",BO139,IF(BP139&lt;&gt;"",BP139,""))</f>
        <v/>
      </c>
      <c r="BR139" s="167">
        <f t="shared" si="198"/>
        <v>9</v>
      </c>
      <c r="BS139" s="167">
        <f t="shared" si="199"/>
        <v>9</v>
      </c>
      <c r="BT139" s="167">
        <f t="shared" si="200"/>
        <v>9</v>
      </c>
      <c r="BW139" s="167"/>
      <c r="BX139" s="167"/>
      <c r="BY139" s="230"/>
      <c r="BZ139" s="167"/>
      <c r="CA139" s="680"/>
      <c r="CB139" s="167"/>
      <c r="CE139" s="99"/>
      <c r="CG139" s="681"/>
    </row>
    <row r="140" spans="1:85" x14ac:dyDescent="0.25">
      <c r="A140" s="96">
        <v>132</v>
      </c>
      <c r="B140" s="96" t="str">
        <f t="shared" ref="B140:B143" si="343">$D$138&amp;D140</f>
        <v>Mat 05b</v>
      </c>
      <c r="C140" s="96" t="str">
        <f t="shared" ref="C140:C203" si="344">C139</f>
        <v>Mat 05</v>
      </c>
      <c r="D140" s="188" t="s">
        <v>697</v>
      </c>
      <c r="E140" s="1124" t="s">
        <v>657</v>
      </c>
      <c r="F140" s="775">
        <v>1</v>
      </c>
      <c r="G140" s="775">
        <v>1</v>
      </c>
      <c r="H140" s="775">
        <v>1</v>
      </c>
      <c r="I140" s="775">
        <v>1</v>
      </c>
      <c r="J140" s="775">
        <v>1</v>
      </c>
      <c r="K140" s="775">
        <v>1</v>
      </c>
      <c r="L140" s="775">
        <v>1</v>
      </c>
      <c r="M140" s="775">
        <v>1</v>
      </c>
      <c r="N140" s="775">
        <v>1</v>
      </c>
      <c r="O140" s="775">
        <v>1</v>
      </c>
      <c r="P140" s="775">
        <v>1</v>
      </c>
      <c r="Q140" s="775">
        <v>1</v>
      </c>
      <c r="R140" s="775">
        <v>1</v>
      </c>
      <c r="S140" s="667"/>
      <c r="T140" s="221">
        <f t="shared" si="298"/>
        <v>1</v>
      </c>
      <c r="U140" s="166"/>
      <c r="V140" s="167"/>
      <c r="W140" s="167"/>
      <c r="X140" s="167"/>
      <c r="Y140" s="168"/>
      <c r="Z140" s="168">
        <f>VLOOKUP(B140,'Manuell filtrering og justering'!$A$7:$H$253,'Manuell filtrering og justering'!$H$1,FALSE)</f>
        <v>1</v>
      </c>
      <c r="AA140" s="169">
        <f t="shared" si="300"/>
        <v>0</v>
      </c>
      <c r="AB140" s="170">
        <f>IF($AC$5='Manuell filtrering og justering'!$J$2,Z140,(T140-AA140))</f>
        <v>1</v>
      </c>
      <c r="AD140" s="171">
        <f t="shared" si="301"/>
        <v>8.0952380952380963E-3</v>
      </c>
      <c r="AE140" s="171">
        <f t="shared" si="312"/>
        <v>0</v>
      </c>
      <c r="AF140" s="171">
        <f t="shared" si="313"/>
        <v>0</v>
      </c>
      <c r="AG140" s="171">
        <f t="shared" si="314"/>
        <v>0</v>
      </c>
      <c r="AI140" s="1068">
        <f>IF(AI241=AD_no,0,IF(VLOOKUP(E140,'Pre-Assessment Estimator'!$E$11:$Z$225,'Pre-Assessment Estimator'!$G$2,FALSE)&gt;AB140,AB140,VLOOKUP(E140,'Pre-Assessment Estimator'!$E$11:$Z$225,'Pre-Assessment Estimator'!$G$2,FALSE)))</f>
        <v>0</v>
      </c>
      <c r="AJ140" s="1068">
        <f>IF(AJ241=AD_no,0,IF(VLOOKUP(E140,'Pre-Assessment Estimator'!$E$11:$Z$225,'Pre-Assessment Estimator'!$N$2,FALSE)&gt;AB140,AB140,VLOOKUP(E140,'Pre-Assessment Estimator'!$E$11:$Z$225,'Pre-Assessment Estimator'!$N$2,FALSE)))</f>
        <v>0</v>
      </c>
      <c r="AK140" s="1068">
        <f>IF(AK241=AD_no,0,IF(VLOOKUP(E140,'Pre-Assessment Estimator'!$E$11:$Z$225,'Pre-Assessment Estimator'!$U$2,FALSE)&gt;AB140,AB140,VLOOKUP(E140,'Pre-Assessment Estimator'!$E$11:$Z$225,'Pre-Assessment Estimator'!$U$2,FALSE)))</f>
        <v>0</v>
      </c>
      <c r="AM140" s="292"/>
      <c r="AN140" s="293"/>
      <c r="AO140" s="293"/>
      <c r="AP140" s="293"/>
      <c r="AQ140" s="294"/>
      <c r="AR140" s="139"/>
      <c r="AS140" s="292"/>
      <c r="AT140" s="293"/>
      <c r="AU140" s="293"/>
      <c r="AV140" s="293"/>
      <c r="AW140" s="294"/>
      <c r="AY140" s="188"/>
      <c r="AZ140" s="189"/>
      <c r="BA140" s="189"/>
      <c r="BB140" s="189"/>
      <c r="BC140" s="717"/>
      <c r="BD140" s="182">
        <f t="shared" si="336"/>
        <v>9</v>
      </c>
      <c r="BE140" s="164" t="str">
        <f t="shared" si="308"/>
        <v>N/A</v>
      </c>
      <c r="BF140" s="185"/>
      <c r="BG140" s="182">
        <f t="shared" si="337"/>
        <v>9</v>
      </c>
      <c r="BH140" s="164" t="str">
        <f t="shared" si="310"/>
        <v>N/A</v>
      </c>
      <c r="BI140" s="185"/>
      <c r="BJ140" s="182">
        <f t="shared" si="338"/>
        <v>9</v>
      </c>
      <c r="BK140" s="164" t="str">
        <f t="shared" si="311"/>
        <v>N/A</v>
      </c>
      <c r="BL140" s="185"/>
      <c r="BO140" s="167"/>
      <c r="BP140" s="167"/>
      <c r="BQ140" s="167" t="str">
        <f t="shared" si="342"/>
        <v/>
      </c>
      <c r="BR140" s="167">
        <f t="shared" si="198"/>
        <v>9</v>
      </c>
      <c r="BS140" s="167">
        <f t="shared" si="199"/>
        <v>9</v>
      </c>
      <c r="BT140" s="167">
        <f t="shared" si="200"/>
        <v>9</v>
      </c>
      <c r="BW140" s="167"/>
      <c r="BX140" s="167"/>
      <c r="BY140" s="230"/>
      <c r="BZ140" s="167"/>
      <c r="CA140" s="680"/>
      <c r="CB140" s="167"/>
      <c r="CE140" s="99"/>
      <c r="CG140" s="681"/>
    </row>
    <row r="141" spans="1:85" x14ac:dyDescent="0.25">
      <c r="A141" s="96">
        <v>133</v>
      </c>
      <c r="B141" s="96" t="str">
        <f t="shared" si="343"/>
        <v>Mat 05c</v>
      </c>
      <c r="C141" s="96" t="str">
        <f t="shared" si="344"/>
        <v>Mat 05</v>
      </c>
      <c r="D141" s="188" t="s">
        <v>698</v>
      </c>
      <c r="E141" s="1124" t="s">
        <v>658</v>
      </c>
      <c r="F141" s="775">
        <v>1</v>
      </c>
      <c r="G141" s="775">
        <v>1</v>
      </c>
      <c r="H141" s="775">
        <v>1</v>
      </c>
      <c r="I141" s="775">
        <v>1</v>
      </c>
      <c r="J141" s="775">
        <v>1</v>
      </c>
      <c r="K141" s="775">
        <v>1</v>
      </c>
      <c r="L141" s="775">
        <v>1</v>
      </c>
      <c r="M141" s="775">
        <v>1</v>
      </c>
      <c r="N141" s="775">
        <v>1</v>
      </c>
      <c r="O141" s="775">
        <v>1</v>
      </c>
      <c r="P141" s="775">
        <v>1</v>
      </c>
      <c r="Q141" s="775">
        <v>1</v>
      </c>
      <c r="R141" s="775">
        <v>1</v>
      </c>
      <c r="S141" s="667"/>
      <c r="T141" s="221">
        <f t="shared" si="298"/>
        <v>1</v>
      </c>
      <c r="U141" s="166"/>
      <c r="V141" s="167"/>
      <c r="W141" s="167"/>
      <c r="X141" s="167"/>
      <c r="Y141" s="168"/>
      <c r="Z141" s="168">
        <f>VLOOKUP(B141,'Manuell filtrering og justering'!$A$7:$H$253,'Manuell filtrering og justering'!$H$1,FALSE)</f>
        <v>1</v>
      </c>
      <c r="AA141" s="169">
        <f t="shared" si="300"/>
        <v>0</v>
      </c>
      <c r="AB141" s="170">
        <f>IF($AC$5='Manuell filtrering og justering'!$J$2,Z141,(T141-AA141))</f>
        <v>1</v>
      </c>
      <c r="AD141" s="171">
        <f t="shared" si="301"/>
        <v>8.0952380952380963E-3</v>
      </c>
      <c r="AE141" s="171">
        <f t="shared" si="312"/>
        <v>0</v>
      </c>
      <c r="AF141" s="171">
        <f t="shared" si="313"/>
        <v>0</v>
      </c>
      <c r="AG141" s="171">
        <f t="shared" si="314"/>
        <v>0</v>
      </c>
      <c r="AI141" s="1068">
        <f>IF(AI241=AD_no,0,IF(VLOOKUP(E141,'Pre-Assessment Estimator'!$E$11:$Z$225,'Pre-Assessment Estimator'!$G$2,FALSE)&gt;AB141,AB141,VLOOKUP(E141,'Pre-Assessment Estimator'!$E$11:$Z$225,'Pre-Assessment Estimator'!$G$2,FALSE)))</f>
        <v>0</v>
      </c>
      <c r="AJ141" s="1068">
        <f>IF(AJ241=AD_no,0,IF(VLOOKUP(E141,'Pre-Assessment Estimator'!$E$11:$Z$225,'Pre-Assessment Estimator'!$N$2,FALSE)&gt;AB141,AB141,VLOOKUP(E141,'Pre-Assessment Estimator'!$E$11:$Z$225,'Pre-Assessment Estimator'!$N$2,FALSE)))</f>
        <v>0</v>
      </c>
      <c r="AK141" s="1068">
        <f>IF(AK241=AD_no,0,IF(VLOOKUP(E141,'Pre-Assessment Estimator'!$E$11:$Z$225,'Pre-Assessment Estimator'!$U$2,FALSE)&gt;AB141,AB141,VLOOKUP(E141,'Pre-Assessment Estimator'!$E$11:$Z$225,'Pre-Assessment Estimator'!$U$2,FALSE)))</f>
        <v>0</v>
      </c>
      <c r="AM141" s="292"/>
      <c r="AN141" s="293"/>
      <c r="AO141" s="293"/>
      <c r="AP141" s="293"/>
      <c r="AQ141" s="294"/>
      <c r="AR141" s="139"/>
      <c r="AS141" s="292"/>
      <c r="AT141" s="293"/>
      <c r="AU141" s="293"/>
      <c r="AV141" s="293"/>
      <c r="AW141" s="294"/>
      <c r="AY141" s="188"/>
      <c r="AZ141" s="189"/>
      <c r="BA141" s="189"/>
      <c r="BB141" s="189"/>
      <c r="BC141" s="717"/>
      <c r="BD141" s="182">
        <f t="shared" si="336"/>
        <v>9</v>
      </c>
      <c r="BE141" s="164" t="str">
        <f t="shared" si="308"/>
        <v>N/A</v>
      </c>
      <c r="BF141" s="185"/>
      <c r="BG141" s="182">
        <f t="shared" si="337"/>
        <v>9</v>
      </c>
      <c r="BH141" s="164" t="str">
        <f t="shared" si="310"/>
        <v>N/A</v>
      </c>
      <c r="BI141" s="185"/>
      <c r="BJ141" s="182">
        <f t="shared" si="338"/>
        <v>9</v>
      </c>
      <c r="BK141" s="164" t="str">
        <f t="shared" si="311"/>
        <v>N/A</v>
      </c>
      <c r="BL141" s="185"/>
      <c r="BO141" s="167"/>
      <c r="BP141" s="167"/>
      <c r="BQ141" s="167" t="str">
        <f t="shared" si="342"/>
        <v/>
      </c>
      <c r="BR141" s="167">
        <f t="shared" si="198"/>
        <v>9</v>
      </c>
      <c r="BS141" s="167">
        <f t="shared" si="199"/>
        <v>9</v>
      </c>
      <c r="BT141" s="167">
        <f t="shared" si="200"/>
        <v>9</v>
      </c>
      <c r="BW141" s="167"/>
      <c r="BX141" s="167"/>
      <c r="BY141" s="230"/>
      <c r="BZ141" s="167"/>
      <c r="CA141" s="680"/>
      <c r="CB141" s="167"/>
      <c r="CE141" s="99"/>
      <c r="CG141" s="681"/>
    </row>
    <row r="142" spans="1:85" x14ac:dyDescent="0.25">
      <c r="A142" s="96">
        <v>134</v>
      </c>
      <c r="B142" s="96" t="str">
        <f t="shared" si="343"/>
        <v>Mat 05d</v>
      </c>
      <c r="C142" s="96" t="str">
        <f t="shared" si="344"/>
        <v>Mat 05</v>
      </c>
      <c r="D142" s="188" t="s">
        <v>696</v>
      </c>
      <c r="E142" s="1124" t="s">
        <v>1004</v>
      </c>
      <c r="F142" s="775">
        <v>1</v>
      </c>
      <c r="G142" s="775">
        <v>1</v>
      </c>
      <c r="H142" s="775">
        <v>1</v>
      </c>
      <c r="I142" s="775">
        <v>1</v>
      </c>
      <c r="J142" s="775">
        <v>1</v>
      </c>
      <c r="K142" s="775">
        <v>1</v>
      </c>
      <c r="L142" s="775">
        <v>1</v>
      </c>
      <c r="M142" s="775">
        <v>1</v>
      </c>
      <c r="N142" s="775">
        <v>1</v>
      </c>
      <c r="O142" s="775">
        <v>1</v>
      </c>
      <c r="P142" s="775">
        <v>1</v>
      </c>
      <c r="Q142" s="775">
        <v>1</v>
      </c>
      <c r="R142" s="775">
        <v>1</v>
      </c>
      <c r="S142" s="667"/>
      <c r="T142" s="221">
        <f t="shared" si="298"/>
        <v>1</v>
      </c>
      <c r="U142" s="166"/>
      <c r="V142" s="167"/>
      <c r="W142" s="167"/>
      <c r="X142" s="167"/>
      <c r="Y142" s="168"/>
      <c r="Z142" s="168">
        <f>VLOOKUP(B142,'Manuell filtrering og justering'!$A$7:$H$253,'Manuell filtrering og justering'!$H$1,FALSE)</f>
        <v>1</v>
      </c>
      <c r="AA142" s="169">
        <f t="shared" si="300"/>
        <v>0</v>
      </c>
      <c r="AB142" s="170">
        <f>IF($AC$5='Manuell filtrering og justering'!$J$2,Z142,(T142-AA142))</f>
        <v>1</v>
      </c>
      <c r="AD142" s="171">
        <f t="shared" si="301"/>
        <v>8.0952380952380963E-3</v>
      </c>
      <c r="AE142" s="171">
        <f t="shared" si="312"/>
        <v>0</v>
      </c>
      <c r="AF142" s="171">
        <f t="shared" si="313"/>
        <v>0</v>
      </c>
      <c r="AG142" s="171">
        <f t="shared" si="314"/>
        <v>0</v>
      </c>
      <c r="AI142" s="1068">
        <f>IF(AI241=AD_no,0,IF(VLOOKUP(E142,'Pre-Assessment Estimator'!$E$11:$Z$225,'Pre-Assessment Estimator'!$G$2,FALSE)&gt;AB142,AB142,VLOOKUP(E142,'Pre-Assessment Estimator'!$E$11:$Z$225,'Pre-Assessment Estimator'!$G$2,FALSE)))</f>
        <v>0</v>
      </c>
      <c r="AJ142" s="1068">
        <f>IF(AJ241=AD_no,0,IF(VLOOKUP(E142,'Pre-Assessment Estimator'!$E$11:$Z$225,'Pre-Assessment Estimator'!$N$2,FALSE)&gt;AB142,AB142,VLOOKUP(E142,'Pre-Assessment Estimator'!$E$11:$Z$225,'Pre-Assessment Estimator'!$N$2,FALSE)))</f>
        <v>0</v>
      </c>
      <c r="AK142" s="1068">
        <f>IF(AK241=AD_no,0,IF(VLOOKUP(E142,'Pre-Assessment Estimator'!$E$11:$Z$225,'Pre-Assessment Estimator'!$U$2,FALSE)&gt;AB142,AB142,VLOOKUP(E142,'Pre-Assessment Estimator'!$E$11:$Z$225,'Pre-Assessment Estimator'!$U$2,FALSE)))</f>
        <v>0</v>
      </c>
      <c r="AM142" s="1194">
        <v>1</v>
      </c>
      <c r="AN142" s="1195">
        <v>1</v>
      </c>
      <c r="AO142" s="1195">
        <v>1</v>
      </c>
      <c r="AP142" s="293">
        <v>1</v>
      </c>
      <c r="AQ142" s="294">
        <v>1</v>
      </c>
      <c r="AR142" s="139"/>
      <c r="AS142" s="1194">
        <v>1</v>
      </c>
      <c r="AT142" s="1195">
        <v>1</v>
      </c>
      <c r="AU142" s="1195">
        <v>1</v>
      </c>
      <c r="AV142" s="293">
        <v>1</v>
      </c>
      <c r="AW142" s="294">
        <v>1</v>
      </c>
      <c r="AY142" s="188"/>
      <c r="AZ142" s="189"/>
      <c r="BA142" s="189"/>
      <c r="BB142" s="183">
        <f>IF($AB142=0,0,IF($E$6=$H$9,AV142,AP142))</f>
        <v>1</v>
      </c>
      <c r="BC142" s="183">
        <f>IF($AB142=0,0,IF($E$6=$H$9,AW142,AQ142))</f>
        <v>1</v>
      </c>
      <c r="BD142" s="182">
        <f t="shared" si="336"/>
        <v>3</v>
      </c>
      <c r="BE142" s="164" t="str">
        <f t="shared" si="308"/>
        <v>Very Good</v>
      </c>
      <c r="BF142" s="185"/>
      <c r="BG142" s="182">
        <f t="shared" si="337"/>
        <v>3</v>
      </c>
      <c r="BH142" s="164" t="str">
        <f t="shared" si="310"/>
        <v>Very Good</v>
      </c>
      <c r="BI142" s="185"/>
      <c r="BJ142" s="182">
        <f t="shared" si="338"/>
        <v>3</v>
      </c>
      <c r="BK142" s="164" t="str">
        <f t="shared" si="311"/>
        <v>Very Good</v>
      </c>
      <c r="BL142" s="185"/>
      <c r="BO142" s="167"/>
      <c r="BP142" s="167"/>
      <c r="BQ142" s="167" t="str">
        <f t="shared" si="342"/>
        <v/>
      </c>
      <c r="BR142" s="167">
        <f t="shared" si="198"/>
        <v>9</v>
      </c>
      <c r="BS142" s="167">
        <f t="shared" si="199"/>
        <v>9</v>
      </c>
      <c r="BT142" s="167">
        <f t="shared" si="200"/>
        <v>9</v>
      </c>
      <c r="BW142" s="167"/>
      <c r="BX142" s="167"/>
      <c r="BY142" s="230"/>
      <c r="BZ142" s="167"/>
      <c r="CA142" s="680"/>
      <c r="CB142" s="167"/>
      <c r="CE142" s="99"/>
      <c r="CG142" s="681"/>
    </row>
    <row r="143" spans="1:85" x14ac:dyDescent="0.25">
      <c r="A143" s="96">
        <v>135</v>
      </c>
      <c r="B143" s="96" t="str">
        <f t="shared" si="343"/>
        <v>Mat 05e</v>
      </c>
      <c r="C143" s="96" t="str">
        <f t="shared" si="344"/>
        <v>Mat 05</v>
      </c>
      <c r="D143" s="188" t="s">
        <v>695</v>
      </c>
      <c r="E143" s="1124" t="s">
        <v>1005</v>
      </c>
      <c r="F143" s="775">
        <v>1</v>
      </c>
      <c r="G143" s="775">
        <v>1</v>
      </c>
      <c r="H143" s="775">
        <v>1</v>
      </c>
      <c r="I143" s="775">
        <v>1</v>
      </c>
      <c r="J143" s="775">
        <v>1</v>
      </c>
      <c r="K143" s="775">
        <v>1</v>
      </c>
      <c r="L143" s="775">
        <v>1</v>
      </c>
      <c r="M143" s="775">
        <v>1</v>
      </c>
      <c r="N143" s="775">
        <v>1</v>
      </c>
      <c r="O143" s="775">
        <v>1</v>
      </c>
      <c r="P143" s="775">
        <v>1</v>
      </c>
      <c r="Q143" s="775">
        <v>1</v>
      </c>
      <c r="R143" s="775">
        <v>1</v>
      </c>
      <c r="S143" s="667"/>
      <c r="T143" s="221">
        <f t="shared" si="298"/>
        <v>1</v>
      </c>
      <c r="U143" s="166"/>
      <c r="V143" s="167"/>
      <c r="W143" s="167"/>
      <c r="X143" s="167"/>
      <c r="Y143" s="168"/>
      <c r="Z143" s="168">
        <f>VLOOKUP(B143,'Manuell filtrering og justering'!$A$7:$H$253,'Manuell filtrering og justering'!$H$1,FALSE)</f>
        <v>1</v>
      </c>
      <c r="AA143" s="169">
        <f t="shared" si="300"/>
        <v>0</v>
      </c>
      <c r="AB143" s="170">
        <f>IF($AC$5='Manuell filtrering og justering'!$J$2,Z143,(T143-AA143))</f>
        <v>1</v>
      </c>
      <c r="AD143" s="171">
        <f t="shared" si="301"/>
        <v>8.0952380952380963E-3</v>
      </c>
      <c r="AE143" s="171">
        <f t="shared" ref="AE143" si="345">IF(AB143=0,0,(AD143/AB143)*AI143)</f>
        <v>0</v>
      </c>
      <c r="AF143" s="171">
        <f t="shared" ref="AF143" si="346">IF(AB143=0,0,(AD143/AB143)*AJ143)</f>
        <v>0</v>
      </c>
      <c r="AG143" s="171">
        <f t="shared" ref="AG143" si="347">IF(AB143=0,0,(AD143/AB143)*AK143)</f>
        <v>0</v>
      </c>
      <c r="AI143" s="1068">
        <f>IF(AI241=AD_no,0,IF(VLOOKUP(E143,'Pre-Assessment Estimator'!$E$11:$Z$225,'Pre-Assessment Estimator'!$G$2,FALSE)&gt;AB143,AB143,VLOOKUP(E143,'Pre-Assessment Estimator'!$E$11:$Z$225,'Pre-Assessment Estimator'!$G$2,FALSE)))</f>
        <v>0</v>
      </c>
      <c r="AJ143" s="1068">
        <f>IF(AJ241=AD_no,0,IF(VLOOKUP(E143,'Pre-Assessment Estimator'!$E$11:$Z$225,'Pre-Assessment Estimator'!$N$2,FALSE)&gt;AB143,AB143,VLOOKUP(E143,'Pre-Assessment Estimator'!$E$11:$Z$225,'Pre-Assessment Estimator'!$N$2,FALSE)))</f>
        <v>0</v>
      </c>
      <c r="AK143" s="1068">
        <f>IF(AK241=AD_no,0,IF(VLOOKUP(E143,'Pre-Assessment Estimator'!$E$11:$Z$225,'Pre-Assessment Estimator'!$U$2,FALSE)&gt;AB143,AB143,VLOOKUP(E143,'Pre-Assessment Estimator'!$E$11:$Z$225,'Pre-Assessment Estimator'!$U$2,FALSE)))</f>
        <v>0</v>
      </c>
      <c r="AM143" s="292"/>
      <c r="AN143" s="293"/>
      <c r="AO143" s="293"/>
      <c r="AP143" s="293"/>
      <c r="AQ143" s="294"/>
      <c r="AR143" s="139"/>
      <c r="AS143" s="292"/>
      <c r="AT143" s="293"/>
      <c r="AU143" s="293"/>
      <c r="AV143" s="293"/>
      <c r="AW143" s="294"/>
      <c r="AY143" s="188"/>
      <c r="AZ143" s="189"/>
      <c r="BA143" s="189"/>
      <c r="BB143" s="189"/>
      <c r="BC143" s="717"/>
      <c r="BD143" s="182">
        <f t="shared" ref="BD143" si="348">IF(BC143=0,9,IF(AI143&gt;=BC143,5,IF(AI143&gt;=BB143,4,IF(AI143&gt;=BA143,3,IF(AI143&gt;=AZ143,2,IF(AI143&lt;AY143,0,1))))))</f>
        <v>9</v>
      </c>
      <c r="BE143" s="164" t="str">
        <f t="shared" si="308"/>
        <v>N/A</v>
      </c>
      <c r="BF143" s="185"/>
      <c r="BG143" s="182">
        <f t="shared" ref="BG143" si="349">IF(BC143=0,9,IF(AJ143&gt;=BC143,5,IF(AJ143&gt;=BB143,4,IF(AJ143&gt;=BA143,3,IF(AJ143&gt;=AZ143,2,IF(AJ143&lt;AY143,0,1))))))</f>
        <v>9</v>
      </c>
      <c r="BH143" s="164" t="str">
        <f t="shared" si="310"/>
        <v>N/A</v>
      </c>
      <c r="BI143" s="185"/>
      <c r="BJ143" s="182">
        <f t="shared" ref="BJ143" si="350">IF(BC143=0,9,IF(AK143&gt;=BC143,5,IF(AK143&gt;=BB143,4,IF(AK143&gt;=BA143,3,IF(AK143&gt;=AZ143,2,IF(AK143&lt;AY143,0,1))))))</f>
        <v>9</v>
      </c>
      <c r="BK143" s="164" t="str">
        <f t="shared" si="311"/>
        <v>N/A</v>
      </c>
      <c r="BL143" s="185"/>
      <c r="BO143" s="167"/>
      <c r="BP143" s="167"/>
      <c r="BQ143" s="167" t="str">
        <f t="shared" si="342"/>
        <v/>
      </c>
      <c r="BR143" s="167">
        <f t="shared" si="198"/>
        <v>9</v>
      </c>
      <c r="BS143" s="167">
        <f t="shared" si="199"/>
        <v>9</v>
      </c>
      <c r="BT143" s="167">
        <f t="shared" si="200"/>
        <v>9</v>
      </c>
      <c r="BW143" s="167"/>
      <c r="BX143" s="167"/>
      <c r="BY143" s="230"/>
      <c r="BZ143" s="167"/>
      <c r="CA143" s="680"/>
      <c r="CB143" s="167"/>
      <c r="CE143" s="99"/>
      <c r="CG143" s="681"/>
    </row>
    <row r="144" spans="1:85" x14ac:dyDescent="0.25">
      <c r="A144" s="96">
        <v>136</v>
      </c>
      <c r="B144" s="137" t="str">
        <f>D144</f>
        <v>Mat 06</v>
      </c>
      <c r="C144" s="137" t="str">
        <f>B144</f>
        <v>Mat 06</v>
      </c>
      <c r="D144" s="946" t="s">
        <v>177</v>
      </c>
      <c r="E144" s="832" t="s">
        <v>468</v>
      </c>
      <c r="F144" s="933">
        <f>SUM(F145:F147)</f>
        <v>3</v>
      </c>
      <c r="G144" s="933">
        <f t="shared" ref="G144:R144" si="351">SUM(G145:G147)</f>
        <v>3</v>
      </c>
      <c r="H144" s="933">
        <f t="shared" si="351"/>
        <v>3</v>
      </c>
      <c r="I144" s="933">
        <f t="shared" si="351"/>
        <v>3</v>
      </c>
      <c r="J144" s="933">
        <f t="shared" si="351"/>
        <v>3</v>
      </c>
      <c r="K144" s="933">
        <f t="shared" si="351"/>
        <v>3</v>
      </c>
      <c r="L144" s="933">
        <f t="shared" si="351"/>
        <v>3</v>
      </c>
      <c r="M144" s="933">
        <f t="shared" si="351"/>
        <v>3</v>
      </c>
      <c r="N144" s="933">
        <f t="shared" si="351"/>
        <v>3</v>
      </c>
      <c r="O144" s="933">
        <f t="shared" si="351"/>
        <v>3</v>
      </c>
      <c r="P144" s="933">
        <f t="shared" si="351"/>
        <v>3</v>
      </c>
      <c r="Q144" s="933">
        <f t="shared" ref="Q144" si="352">SUM(Q145:Q147)</f>
        <v>3</v>
      </c>
      <c r="R144" s="933">
        <f t="shared" si="351"/>
        <v>3</v>
      </c>
      <c r="S144" s="137"/>
      <c r="T144" s="963">
        <f t="shared" si="298"/>
        <v>3</v>
      </c>
      <c r="U144" s="222">
        <f>U145</f>
        <v>0</v>
      </c>
      <c r="V144" s="230"/>
      <c r="W144" s="230"/>
      <c r="X144" s="230">
        <f>'Manuell filtrering og justering'!E63</f>
        <v>0</v>
      </c>
      <c r="Y144" s="230"/>
      <c r="Z144" s="958">
        <f t="shared" ref="Z144" si="353">SUM(Z145:Z147)</f>
        <v>3</v>
      </c>
      <c r="AA144" s="963">
        <f t="shared" si="300"/>
        <v>0</v>
      </c>
      <c r="AB144" s="1067">
        <f>SUM(AB145:AB147)</f>
        <v>3</v>
      </c>
      <c r="AD144" s="171">
        <f t="shared" si="301"/>
        <v>2.4285714285714289E-2</v>
      </c>
      <c r="AE144" s="921">
        <f>SUM(AE145:AE147)</f>
        <v>0</v>
      </c>
      <c r="AF144" s="921">
        <f t="shared" ref="AF144" si="354">SUM(AF145:AF147)</f>
        <v>0</v>
      </c>
      <c r="AG144" s="921">
        <f t="shared" ref="AG144" si="355">SUM(AG145:AG147)</f>
        <v>0</v>
      </c>
      <c r="AI144" s="958">
        <f t="shared" ref="AI144" si="356">SUM(AI145:AI147)</f>
        <v>0</v>
      </c>
      <c r="AJ144" s="958">
        <f t="shared" ref="AJ144" si="357">SUM(AJ145:AJ147)</f>
        <v>0</v>
      </c>
      <c r="AK144" s="958">
        <f t="shared" ref="AK144" si="358">SUM(AK145:AK147)</f>
        <v>0</v>
      </c>
      <c r="AM144" s="292"/>
      <c r="AN144" s="293"/>
      <c r="AO144" s="293"/>
      <c r="AP144" s="293"/>
      <c r="AQ144" s="294"/>
      <c r="AR144" s="139"/>
      <c r="AS144" s="292"/>
      <c r="AT144" s="293"/>
      <c r="AU144" s="293"/>
      <c r="AV144" s="293"/>
      <c r="AW144" s="294"/>
      <c r="AY144" s="188"/>
      <c r="AZ144" s="189"/>
      <c r="BA144" s="189"/>
      <c r="BB144" s="189"/>
      <c r="BC144" s="717"/>
      <c r="BD144" s="182">
        <f t="shared" si="336"/>
        <v>9</v>
      </c>
      <c r="BE144" s="164" t="str">
        <f t="shared" si="308"/>
        <v>N/A</v>
      </c>
      <c r="BF144" s="185"/>
      <c r="BG144" s="182">
        <f t="shared" si="337"/>
        <v>9</v>
      </c>
      <c r="BH144" s="164" t="str">
        <f t="shared" si="310"/>
        <v>N/A</v>
      </c>
      <c r="BI144" s="185"/>
      <c r="BJ144" s="182">
        <f t="shared" si="338"/>
        <v>9</v>
      </c>
      <c r="BK144" s="164" t="str">
        <f t="shared" si="311"/>
        <v>N/A</v>
      </c>
      <c r="BL144" s="185"/>
      <c r="BO144" s="167"/>
      <c r="BP144" s="167"/>
      <c r="BQ144" s="167" t="str">
        <f t="shared" si="342"/>
        <v/>
      </c>
      <c r="BR144" s="167">
        <f t="shared" si="198"/>
        <v>9</v>
      </c>
      <c r="BS144" s="167">
        <f t="shared" si="199"/>
        <v>9</v>
      </c>
      <c r="BT144" s="167">
        <f t="shared" si="200"/>
        <v>9</v>
      </c>
      <c r="BW144" s="289" t="str">
        <f>D144</f>
        <v>Mat 06</v>
      </c>
      <c r="BX144" s="289">
        <f>IFERROR(VLOOKUP($E144,'Pre-Assessment Estimator'!$E$11:$AB$225,'Pre-Assessment Estimator'!AB$2,FALSE),"")</f>
        <v>0</v>
      </c>
      <c r="BY144" s="289">
        <f>IFERROR(VLOOKUP($E144,'Pre-Assessment Estimator'!$E$11:$AI$225,'Pre-Assessment Estimator'!AI$2,FALSE),"")</f>
        <v>0</v>
      </c>
      <c r="BZ144" s="289" t="str">
        <f>IFERROR(VLOOKUP($BX144,$E$292:$H$325,F$290,FALSE),"")</f>
        <v/>
      </c>
      <c r="CA144" s="289" t="str">
        <f>IFERROR(VLOOKUP($BX144,$E$292:$H$325,G$290,FALSE),"")</f>
        <v/>
      </c>
      <c r="CB144" s="289"/>
      <c r="CC144" s="96" t="str">
        <f>IFERROR(VLOOKUP($BX144,$E$292:$H$325,I$290,FALSE),"")</f>
        <v/>
      </c>
    </row>
    <row r="145" spans="1:81" x14ac:dyDescent="0.25">
      <c r="A145" s="96">
        <v>137</v>
      </c>
      <c r="B145" s="96" t="str">
        <f t="shared" ref="B145:B147" si="359">$D$144&amp;D145</f>
        <v>Mat 06a</v>
      </c>
      <c r="C145" s="96" t="str">
        <f t="shared" si="344"/>
        <v>Mat 06</v>
      </c>
      <c r="D145" s="947" t="s">
        <v>694</v>
      </c>
      <c r="E145" s="1255" t="s">
        <v>1076</v>
      </c>
      <c r="F145" s="775">
        <v>1</v>
      </c>
      <c r="G145" s="775">
        <v>1</v>
      </c>
      <c r="H145" s="775">
        <v>1</v>
      </c>
      <c r="I145" s="775">
        <v>1</v>
      </c>
      <c r="J145" s="775">
        <v>1</v>
      </c>
      <c r="K145" s="775">
        <v>1</v>
      </c>
      <c r="L145" s="775">
        <v>1</v>
      </c>
      <c r="M145" s="775">
        <v>1</v>
      </c>
      <c r="N145" s="775">
        <v>1</v>
      </c>
      <c r="O145" s="775">
        <v>1</v>
      </c>
      <c r="P145" s="775">
        <v>1</v>
      </c>
      <c r="Q145" s="775">
        <v>1</v>
      </c>
      <c r="R145" s="775">
        <v>1</v>
      </c>
      <c r="S145" s="137"/>
      <c r="T145" s="221">
        <f t="shared" si="298"/>
        <v>1</v>
      </c>
      <c r="U145" s="192">
        <f>IF('Assessment Details'!F26=AD_no,Poeng!T145,0)</f>
        <v>0</v>
      </c>
      <c r="V145" s="193"/>
      <c r="W145" s="193"/>
      <c r="X145" s="167"/>
      <c r="Y145" s="168"/>
      <c r="Z145" s="168">
        <f>VLOOKUP(B145,'Manuell filtrering og justering'!$A$7:$H$253,'Manuell filtrering og justering'!$H$1,FALSE)</f>
        <v>1</v>
      </c>
      <c r="AA145" s="169">
        <f t="shared" si="300"/>
        <v>0</v>
      </c>
      <c r="AB145" s="170">
        <f>IF($AC$5='Manuell filtrering og justering'!$J$2,Z145,(T145-AA145))</f>
        <v>1</v>
      </c>
      <c r="AD145" s="171">
        <f t="shared" si="301"/>
        <v>8.0952380952380963E-3</v>
      </c>
      <c r="AE145" s="171">
        <f t="shared" si="312"/>
        <v>0</v>
      </c>
      <c r="AF145" s="171">
        <f t="shared" si="313"/>
        <v>0</v>
      </c>
      <c r="AG145" s="171">
        <f t="shared" si="314"/>
        <v>0</v>
      </c>
      <c r="AI145" s="172">
        <f>IF(VLOOKUP(E145,'Pre-Assessment Estimator'!$E$11:$Z$225,'Pre-Assessment Estimator'!$G$2,FALSE)&gt;AB145,AB145,VLOOKUP(E145,'Pre-Assessment Estimator'!$E$11:$Z$225,'Pre-Assessment Estimator'!$G$2,FALSE))</f>
        <v>0</v>
      </c>
      <c r="AJ145" s="172">
        <f>IF(VLOOKUP(E145,'Pre-Assessment Estimator'!$E$11:$Z$225,'Pre-Assessment Estimator'!$N$2,FALSE)&gt;AB145,AB145,VLOOKUP(E145,'Pre-Assessment Estimator'!$E$11:$Z$225,'Pre-Assessment Estimator'!$N$2,FALSE))</f>
        <v>0</v>
      </c>
      <c r="AK145" s="172">
        <f>IF(VLOOKUP(E145,'Pre-Assessment Estimator'!$E$11:$Z$225,'Pre-Assessment Estimator'!$U$2,FALSE)&gt;AB145,AB145,VLOOKUP(E145,'Pre-Assessment Estimator'!$E$11:$Z$225,'Pre-Assessment Estimator'!$U$2,FALSE))</f>
        <v>0</v>
      </c>
      <c r="AM145" s="850">
        <v>1</v>
      </c>
      <c r="AN145" s="851">
        <v>1</v>
      </c>
      <c r="AO145" s="851">
        <v>1</v>
      </c>
      <c r="AP145" s="851">
        <v>1</v>
      </c>
      <c r="AQ145" s="843">
        <v>1</v>
      </c>
      <c r="AR145" s="139"/>
      <c r="AS145" s="850"/>
      <c r="AT145" s="851"/>
      <c r="AU145" s="851"/>
      <c r="AV145" s="851">
        <v>1</v>
      </c>
      <c r="AW145" s="843">
        <v>1</v>
      </c>
      <c r="AY145" s="183">
        <f>IF($AB145=0,0,IF($E$6=$H$9,AS145,AM145))</f>
        <v>1</v>
      </c>
      <c r="AZ145" s="183">
        <f>IF($AB145=0,0,IF($E$6=$H$9,AT145,AN145))</f>
        <v>1</v>
      </c>
      <c r="BA145" s="183">
        <f>IF($AB145=0,0,IF($E$6=$H$9,AU145,AO145))</f>
        <v>1</v>
      </c>
      <c r="BB145" s="183">
        <f>IF($AB145=0,0,IF($E$6=$H$9,AV145,AP145))</f>
        <v>1</v>
      </c>
      <c r="BC145" s="183">
        <f>IF($AB145=0,0,IF($E$6=$H$9,AW145,AQ145))</f>
        <v>1</v>
      </c>
      <c r="BD145" s="1005">
        <f>IF('Assessment Details'!F26=AD_no,9,IF(AND(AI145=1,AI250=AD_Yes),5,IF(AI250=AD_Yes,3,0)))</f>
        <v>0</v>
      </c>
      <c r="BE145" s="164" t="str">
        <f t="shared" si="308"/>
        <v>Unclassified</v>
      </c>
      <c r="BF145" s="185"/>
      <c r="BG145" s="1005">
        <f>IF('Assessment Details'!F26=AD_no,9,IF(AND(AJ145=1,AJ250=AD_Yes),5,IF(AJ250=AD_Yes,3,0)))</f>
        <v>0</v>
      </c>
      <c r="BH145" s="164" t="str">
        <f t="shared" si="310"/>
        <v>Unclassified</v>
      </c>
      <c r="BI145" s="185"/>
      <c r="BJ145" s="1005">
        <f>IF('Assessment Details'!F26=AD_no,9,IF(AND(AK145=1,AK250=AD_Yes),5,IF(AK250=AD_Yes,3,0)))</f>
        <v>0</v>
      </c>
      <c r="BK145" s="164" t="str">
        <f t="shared" si="311"/>
        <v>Unclassified</v>
      </c>
      <c r="BL145" s="847"/>
      <c r="BO145" s="167"/>
      <c r="BP145" s="167">
        <v>1</v>
      </c>
      <c r="BQ145" s="167">
        <f t="shared" si="342"/>
        <v>1</v>
      </c>
      <c r="BR145" s="167">
        <f t="shared" si="198"/>
        <v>0</v>
      </c>
      <c r="BS145" s="167">
        <f t="shared" si="199"/>
        <v>0</v>
      </c>
      <c r="BT145" s="167">
        <f t="shared" si="200"/>
        <v>0</v>
      </c>
      <c r="BW145" s="707"/>
      <c r="BX145" s="707"/>
      <c r="BY145" s="707"/>
      <c r="BZ145" s="707"/>
      <c r="CA145" s="707"/>
      <c r="CB145" s="707"/>
    </row>
    <row r="146" spans="1:81" x14ac:dyDescent="0.25">
      <c r="A146" s="96">
        <v>138</v>
      </c>
      <c r="B146" s="96" t="str">
        <f t="shared" si="359"/>
        <v>Mat 06b</v>
      </c>
      <c r="C146" s="96" t="str">
        <f t="shared" si="344"/>
        <v>Mat 06</v>
      </c>
      <c r="D146" s="947" t="s">
        <v>697</v>
      </c>
      <c r="E146" s="1124" t="s">
        <v>661</v>
      </c>
      <c r="F146" s="775">
        <v>1</v>
      </c>
      <c r="G146" s="775">
        <v>1</v>
      </c>
      <c r="H146" s="775">
        <v>1</v>
      </c>
      <c r="I146" s="775">
        <v>1</v>
      </c>
      <c r="J146" s="775">
        <v>1</v>
      </c>
      <c r="K146" s="775">
        <v>1</v>
      </c>
      <c r="L146" s="775">
        <v>1</v>
      </c>
      <c r="M146" s="775">
        <v>1</v>
      </c>
      <c r="N146" s="775">
        <v>1</v>
      </c>
      <c r="O146" s="775">
        <v>1</v>
      </c>
      <c r="P146" s="775">
        <v>1</v>
      </c>
      <c r="Q146" s="775">
        <v>1</v>
      </c>
      <c r="R146" s="775">
        <v>1</v>
      </c>
      <c r="S146" s="137"/>
      <c r="T146" s="221">
        <f t="shared" si="298"/>
        <v>1</v>
      </c>
      <c r="U146" s="192"/>
      <c r="V146" s="193"/>
      <c r="W146" s="193"/>
      <c r="X146" s="167"/>
      <c r="Y146" s="168"/>
      <c r="Z146" s="168">
        <f>VLOOKUP(B146,'Manuell filtrering og justering'!$A$7:$H$253,'Manuell filtrering og justering'!$H$1,FALSE)</f>
        <v>1</v>
      </c>
      <c r="AA146" s="169">
        <f t="shared" si="300"/>
        <v>0</v>
      </c>
      <c r="AB146" s="170">
        <f>IF($AC$5='Manuell filtrering og justering'!$J$2,Z146,(T146-AA146))</f>
        <v>1</v>
      </c>
      <c r="AD146" s="171">
        <f t="shared" si="301"/>
        <v>8.0952380952380963E-3</v>
      </c>
      <c r="AE146" s="171">
        <f t="shared" si="312"/>
        <v>0</v>
      </c>
      <c r="AF146" s="171">
        <f t="shared" si="313"/>
        <v>0</v>
      </c>
      <c r="AG146" s="171">
        <f t="shared" si="314"/>
        <v>0</v>
      </c>
      <c r="AI146" s="172">
        <f>IF(VLOOKUP(E146,'Pre-Assessment Estimator'!$E$11:$Z$225,'Pre-Assessment Estimator'!$G$2,FALSE)&gt;AB146,AB146,VLOOKUP(E146,'Pre-Assessment Estimator'!$E$11:$Z$225,'Pre-Assessment Estimator'!$G$2,FALSE))</f>
        <v>0</v>
      </c>
      <c r="AJ146" s="172">
        <f>IF(VLOOKUP(E146,'Pre-Assessment Estimator'!$E$11:$Z$225,'Pre-Assessment Estimator'!$N$2,FALSE)&gt;AB146,AB146,VLOOKUP(E146,'Pre-Assessment Estimator'!$E$11:$Z$225,'Pre-Assessment Estimator'!$N$2,FALSE))</f>
        <v>0</v>
      </c>
      <c r="AK146" s="172">
        <f>IF(VLOOKUP(E146,'Pre-Assessment Estimator'!$E$11:$Z$225,'Pre-Assessment Estimator'!$U$2,FALSE)&gt;AB146,AB146,VLOOKUP(E146,'Pre-Assessment Estimator'!$E$11:$Z$225,'Pre-Assessment Estimator'!$U$2,FALSE))</f>
        <v>0</v>
      </c>
      <c r="AM146" s="850"/>
      <c r="AN146" s="851"/>
      <c r="AO146" s="851"/>
      <c r="AP146" s="851"/>
      <c r="AQ146" s="843"/>
      <c r="AR146" s="139"/>
      <c r="AS146" s="850"/>
      <c r="AT146" s="851"/>
      <c r="AU146" s="851"/>
      <c r="AV146" s="851"/>
      <c r="AW146" s="843"/>
      <c r="AY146" s="731"/>
      <c r="AZ146" s="733"/>
      <c r="BA146" s="733"/>
      <c r="BB146" s="733"/>
      <c r="BC146" s="856"/>
      <c r="BD146" s="182">
        <f t="shared" si="336"/>
        <v>9</v>
      </c>
      <c r="BE146" s="164" t="str">
        <f t="shared" si="308"/>
        <v>N/A</v>
      </c>
      <c r="BF146" s="185"/>
      <c r="BG146" s="182">
        <f t="shared" si="337"/>
        <v>9</v>
      </c>
      <c r="BH146" s="164" t="str">
        <f t="shared" si="310"/>
        <v>N/A</v>
      </c>
      <c r="BI146" s="185"/>
      <c r="BJ146" s="182">
        <f t="shared" si="338"/>
        <v>9</v>
      </c>
      <c r="BK146" s="164" t="str">
        <f t="shared" si="311"/>
        <v>N/A</v>
      </c>
      <c r="BL146" s="847"/>
      <c r="BO146" s="167"/>
      <c r="BP146" s="167"/>
      <c r="BQ146" s="167" t="str">
        <f t="shared" si="342"/>
        <v/>
      </c>
      <c r="BR146" s="167">
        <f t="shared" si="198"/>
        <v>9</v>
      </c>
      <c r="BS146" s="167">
        <f t="shared" si="199"/>
        <v>9</v>
      </c>
      <c r="BT146" s="167">
        <f t="shared" si="200"/>
        <v>9</v>
      </c>
      <c r="BW146" s="707"/>
      <c r="BX146" s="707"/>
      <c r="BY146" s="707"/>
      <c r="BZ146" s="707"/>
      <c r="CA146" s="707"/>
      <c r="CB146" s="707"/>
    </row>
    <row r="147" spans="1:81" x14ac:dyDescent="0.25">
      <c r="A147" s="96">
        <v>139</v>
      </c>
      <c r="B147" s="96" t="str">
        <f t="shared" si="359"/>
        <v>Mat 06c</v>
      </c>
      <c r="C147" s="96" t="str">
        <f t="shared" si="344"/>
        <v>Mat 06</v>
      </c>
      <c r="D147" s="947" t="s">
        <v>698</v>
      </c>
      <c r="E147" s="1124" t="s">
        <v>662</v>
      </c>
      <c r="F147" s="775">
        <v>1</v>
      </c>
      <c r="G147" s="775">
        <v>1</v>
      </c>
      <c r="H147" s="775">
        <v>1</v>
      </c>
      <c r="I147" s="775">
        <v>1</v>
      </c>
      <c r="J147" s="775">
        <v>1</v>
      </c>
      <c r="K147" s="775">
        <v>1</v>
      </c>
      <c r="L147" s="775">
        <v>1</v>
      </c>
      <c r="M147" s="775">
        <v>1</v>
      </c>
      <c r="N147" s="775">
        <v>1</v>
      </c>
      <c r="O147" s="775">
        <v>1</v>
      </c>
      <c r="P147" s="775">
        <v>1</v>
      </c>
      <c r="Q147" s="775">
        <v>1</v>
      </c>
      <c r="R147" s="775">
        <v>1</v>
      </c>
      <c r="S147" s="137"/>
      <c r="T147" s="221">
        <f t="shared" si="298"/>
        <v>1</v>
      </c>
      <c r="U147" s="192"/>
      <c r="V147" s="193"/>
      <c r="W147" s="193"/>
      <c r="X147" s="167"/>
      <c r="Y147" s="168"/>
      <c r="Z147" s="168">
        <f>VLOOKUP(B147,'Manuell filtrering og justering'!$A$7:$H$253,'Manuell filtrering og justering'!$H$1,FALSE)</f>
        <v>1</v>
      </c>
      <c r="AA147" s="169">
        <f t="shared" si="300"/>
        <v>0</v>
      </c>
      <c r="AB147" s="170">
        <f>IF($AC$5='Manuell filtrering og justering'!$J$2,Z147,(T147-AA147))</f>
        <v>1</v>
      </c>
      <c r="AD147" s="171">
        <f t="shared" si="301"/>
        <v>8.0952380952380963E-3</v>
      </c>
      <c r="AE147" s="171">
        <f t="shared" si="312"/>
        <v>0</v>
      </c>
      <c r="AF147" s="171">
        <f t="shared" si="313"/>
        <v>0</v>
      </c>
      <c r="AG147" s="171">
        <f t="shared" si="314"/>
        <v>0</v>
      </c>
      <c r="AI147" s="172">
        <f>IF(VLOOKUP(E147,'Pre-Assessment Estimator'!$E$11:$Z$225,'Pre-Assessment Estimator'!$G$2,FALSE)&gt;AB147,AB147,VLOOKUP(E147,'Pre-Assessment Estimator'!$E$11:$Z$225,'Pre-Assessment Estimator'!$G$2,FALSE))</f>
        <v>0</v>
      </c>
      <c r="AJ147" s="172">
        <f>IF(VLOOKUP(E147,'Pre-Assessment Estimator'!$E$11:$Z$225,'Pre-Assessment Estimator'!$N$2,FALSE)&gt;AB147,AB147,VLOOKUP(E147,'Pre-Assessment Estimator'!$E$11:$Z$225,'Pre-Assessment Estimator'!$N$2,FALSE))</f>
        <v>0</v>
      </c>
      <c r="AK147" s="172">
        <f>IF(VLOOKUP(E147,'Pre-Assessment Estimator'!$E$11:$Z$225,'Pre-Assessment Estimator'!$U$2,FALSE)&gt;AB147,AB147,VLOOKUP(E147,'Pre-Assessment Estimator'!$E$11:$Z$225,'Pre-Assessment Estimator'!$U$2,FALSE))</f>
        <v>0</v>
      </c>
      <c r="AM147" s="850"/>
      <c r="AN147" s="851"/>
      <c r="AO147" s="851"/>
      <c r="AP147" s="851"/>
      <c r="AQ147" s="843"/>
      <c r="AR147" s="139"/>
      <c r="AS147" s="850"/>
      <c r="AT147" s="851"/>
      <c r="AU147" s="851"/>
      <c r="AV147" s="851"/>
      <c r="AW147" s="843"/>
      <c r="AY147" s="731"/>
      <c r="AZ147" s="733"/>
      <c r="BA147" s="733"/>
      <c r="BB147" s="733"/>
      <c r="BC147" s="856"/>
      <c r="BD147" s="182">
        <f t="shared" si="336"/>
        <v>9</v>
      </c>
      <c r="BE147" s="164" t="str">
        <f t="shared" si="308"/>
        <v>N/A</v>
      </c>
      <c r="BF147" s="185"/>
      <c r="BG147" s="182">
        <f t="shared" si="337"/>
        <v>9</v>
      </c>
      <c r="BH147" s="164" t="str">
        <f t="shared" si="310"/>
        <v>N/A</v>
      </c>
      <c r="BI147" s="185"/>
      <c r="BJ147" s="182">
        <f t="shared" si="338"/>
        <v>9</v>
      </c>
      <c r="BK147" s="164" t="str">
        <f t="shared" si="311"/>
        <v>N/A</v>
      </c>
      <c r="BL147" s="847"/>
      <c r="BO147" s="167"/>
      <c r="BP147" s="167"/>
      <c r="BQ147" s="167" t="str">
        <f t="shared" si="342"/>
        <v/>
      </c>
      <c r="BR147" s="167">
        <f t="shared" si="198"/>
        <v>9</v>
      </c>
      <c r="BS147" s="167">
        <f t="shared" si="199"/>
        <v>9</v>
      </c>
      <c r="BT147" s="167">
        <f t="shared" si="200"/>
        <v>9</v>
      </c>
      <c r="BW147" s="707"/>
      <c r="BX147" s="707"/>
      <c r="BY147" s="707"/>
      <c r="BZ147" s="707"/>
      <c r="CA147" s="707"/>
      <c r="CB147" s="707"/>
    </row>
    <row r="148" spans="1:81" x14ac:dyDescent="0.25">
      <c r="A148" s="96">
        <v>140</v>
      </c>
      <c r="B148" s="137" t="str">
        <f>D148</f>
        <v>Mat 07</v>
      </c>
      <c r="C148" s="137" t="str">
        <f>B148</f>
        <v>Mat 07</v>
      </c>
      <c r="D148" s="946" t="s">
        <v>480</v>
      </c>
      <c r="E148" s="832" t="s">
        <v>1021</v>
      </c>
      <c r="F148" s="933">
        <f>SUM(F149:F151)</f>
        <v>3</v>
      </c>
      <c r="G148" s="933">
        <f t="shared" ref="G148:R148" si="360">SUM(G149:G151)</f>
        <v>3</v>
      </c>
      <c r="H148" s="933">
        <f t="shared" si="360"/>
        <v>3</v>
      </c>
      <c r="I148" s="933">
        <f t="shared" si="360"/>
        <v>3</v>
      </c>
      <c r="J148" s="933">
        <f t="shared" si="360"/>
        <v>3</v>
      </c>
      <c r="K148" s="933">
        <f t="shared" si="360"/>
        <v>3</v>
      </c>
      <c r="L148" s="933">
        <f t="shared" si="360"/>
        <v>3</v>
      </c>
      <c r="M148" s="933">
        <f t="shared" si="360"/>
        <v>3</v>
      </c>
      <c r="N148" s="933">
        <f t="shared" si="360"/>
        <v>3</v>
      </c>
      <c r="O148" s="933">
        <f t="shared" si="360"/>
        <v>3</v>
      </c>
      <c r="P148" s="933">
        <f t="shared" si="360"/>
        <v>3</v>
      </c>
      <c r="Q148" s="933">
        <f t="shared" ref="Q148" si="361">SUM(Q149:Q151)</f>
        <v>3</v>
      </c>
      <c r="R148" s="933">
        <f t="shared" si="360"/>
        <v>3</v>
      </c>
      <c r="T148" s="963">
        <f t="shared" si="298"/>
        <v>3</v>
      </c>
      <c r="U148" s="728"/>
      <c r="V148" s="964"/>
      <c r="W148" s="964"/>
      <c r="X148" s="230">
        <f>'Manuell filtrering og justering'!E64</f>
        <v>0</v>
      </c>
      <c r="Y148" s="230"/>
      <c r="Z148" s="958">
        <f t="shared" ref="Z148" si="362">SUM(Z149:Z151)</f>
        <v>3</v>
      </c>
      <c r="AA148" s="963">
        <f t="shared" si="300"/>
        <v>0</v>
      </c>
      <c r="AB148" s="1067">
        <f>SUM(AB149:AB151)</f>
        <v>3</v>
      </c>
      <c r="AD148" s="171">
        <f t="shared" si="301"/>
        <v>2.4285714285714289E-2</v>
      </c>
      <c r="AE148" s="921">
        <f>SUM(AE149:AE151)</f>
        <v>0</v>
      </c>
      <c r="AF148" s="921">
        <f t="shared" ref="AF148" si="363">SUM(AF149:AF151)</f>
        <v>0</v>
      </c>
      <c r="AG148" s="921">
        <f t="shared" ref="AG148" si="364">SUM(AG149:AG151)</f>
        <v>0</v>
      </c>
      <c r="AI148" s="958">
        <f t="shared" ref="AI148" si="365">SUM(AI149:AI151)</f>
        <v>0</v>
      </c>
      <c r="AJ148" s="958">
        <f t="shared" ref="AJ148" si="366">SUM(AJ149:AJ151)</f>
        <v>0</v>
      </c>
      <c r="AK148" s="958">
        <f t="shared" ref="AK148" si="367">SUM(AK149:AK151)</f>
        <v>0</v>
      </c>
      <c r="AM148" s="850"/>
      <c r="AN148" s="851"/>
      <c r="AO148" s="851"/>
      <c r="AP148" s="851"/>
      <c r="AQ148" s="843"/>
      <c r="AR148" s="139"/>
      <c r="AS148" s="850"/>
      <c r="AT148" s="851"/>
      <c r="AU148" s="851"/>
      <c r="AV148" s="851"/>
      <c r="AW148" s="843"/>
      <c r="AY148" s="731"/>
      <c r="AZ148" s="733"/>
      <c r="BA148" s="733"/>
      <c r="BB148" s="733"/>
      <c r="BC148" s="717"/>
      <c r="BD148" s="182">
        <f t="shared" ref="BD148:BD151" si="368">IF(BC148=0,9,IF(AI148&gt;=BC148,5,IF(AI148&gt;=BB148,4,IF(AI148&gt;=BA148,3,IF(AI148&gt;=AZ148,2,IF(AI148&lt;AY148,0,1))))))</f>
        <v>9</v>
      </c>
      <c r="BE148" s="164" t="str">
        <f t="shared" si="308"/>
        <v>N/A</v>
      </c>
      <c r="BF148" s="185"/>
      <c r="BG148" s="182">
        <f t="shared" ref="BG148:BG151" si="369">IF(BC148=0,9,IF(AJ148&gt;=BC148,5,IF(AJ148&gt;=BB148,4,IF(AJ148&gt;=BA148,3,IF(AJ148&gt;=AZ148,2,IF(AJ148&lt;AY148,0,1))))))</f>
        <v>9</v>
      </c>
      <c r="BH148" s="164" t="str">
        <f t="shared" si="310"/>
        <v>N/A</v>
      </c>
      <c r="BI148" s="185"/>
      <c r="BJ148" s="182">
        <f t="shared" ref="BJ148:BJ151" si="370">IF(BC148=0,9,IF(AK148&gt;=BC148,5,IF(AK148&gt;=BB148,4,IF(AK148&gt;=BA148,3,IF(AK148&gt;=AZ148,2,IF(AK148&lt;AY148,0,1))))))</f>
        <v>9</v>
      </c>
      <c r="BK148" s="164" t="str">
        <f t="shared" si="311"/>
        <v>N/A</v>
      </c>
      <c r="BL148" s="847"/>
      <c r="BO148" s="167"/>
      <c r="BP148" s="167"/>
      <c r="BQ148" s="167" t="str">
        <f t="shared" si="342"/>
        <v/>
      </c>
      <c r="BR148" s="167">
        <f t="shared" si="198"/>
        <v>9</v>
      </c>
      <c r="BS148" s="167">
        <f t="shared" si="199"/>
        <v>9</v>
      </c>
      <c r="BT148" s="167">
        <f t="shared" si="200"/>
        <v>9</v>
      </c>
      <c r="BW148" s="707" t="str">
        <f>D148</f>
        <v>Mat 07</v>
      </c>
      <c r="BX148" s="707"/>
      <c r="BY148" s="707"/>
      <c r="BZ148" s="707"/>
      <c r="CA148" s="707"/>
      <c r="CB148" s="707"/>
    </row>
    <row r="149" spans="1:81" x14ac:dyDescent="0.25">
      <c r="A149" s="96">
        <v>141</v>
      </c>
      <c r="B149" s="96" t="str">
        <f t="shared" ref="B149:B151" si="371">$D$148&amp;D149</f>
        <v>Mat 07a</v>
      </c>
      <c r="C149" s="96" t="str">
        <f t="shared" si="344"/>
        <v>Mat 07</v>
      </c>
      <c r="D149" s="947" t="s">
        <v>694</v>
      </c>
      <c r="E149" s="1124" t="s">
        <v>1022</v>
      </c>
      <c r="F149" s="775">
        <v>1</v>
      </c>
      <c r="G149" s="775">
        <v>1</v>
      </c>
      <c r="H149" s="775">
        <v>1</v>
      </c>
      <c r="I149" s="775">
        <v>1</v>
      </c>
      <c r="J149" s="775">
        <v>1</v>
      </c>
      <c r="K149" s="775">
        <v>1</v>
      </c>
      <c r="L149" s="775">
        <v>1</v>
      </c>
      <c r="M149" s="775">
        <v>1</v>
      </c>
      <c r="N149" s="775">
        <v>1</v>
      </c>
      <c r="O149" s="775">
        <v>1</v>
      </c>
      <c r="P149" s="775">
        <v>1</v>
      </c>
      <c r="Q149" s="775">
        <v>1</v>
      </c>
      <c r="R149" s="775">
        <v>1</v>
      </c>
      <c r="T149" s="221">
        <f t="shared" si="298"/>
        <v>1</v>
      </c>
      <c r="U149" s="192"/>
      <c r="V149" s="193"/>
      <c r="W149" s="193"/>
      <c r="X149" s="193"/>
      <c r="Y149" s="1166"/>
      <c r="Z149" s="168">
        <f>VLOOKUP(B149,'Manuell filtrering og justering'!$A$7:$H$253,'Manuell filtrering og justering'!$H$1,FALSE)</f>
        <v>1</v>
      </c>
      <c r="AA149" s="169">
        <f t="shared" si="300"/>
        <v>0</v>
      </c>
      <c r="AB149" s="170">
        <f>IF($AC$5='Manuell filtrering og justering'!$J$2,Z149,(T149-AA149))</f>
        <v>1</v>
      </c>
      <c r="AD149" s="171">
        <f t="shared" si="301"/>
        <v>8.0952380952380963E-3</v>
      </c>
      <c r="AE149" s="171">
        <f t="shared" si="312"/>
        <v>0</v>
      </c>
      <c r="AF149" s="171">
        <f t="shared" si="313"/>
        <v>0</v>
      </c>
      <c r="AG149" s="171">
        <f t="shared" si="314"/>
        <v>0</v>
      </c>
      <c r="AI149" s="172">
        <f>IF(VLOOKUP(E149,'Pre-Assessment Estimator'!$E$11:$Z$225,'Pre-Assessment Estimator'!$G$2,FALSE)&gt;AB149,AB149,VLOOKUP(E149,'Pre-Assessment Estimator'!$E$11:$Z$225,'Pre-Assessment Estimator'!$G$2,FALSE))</f>
        <v>0</v>
      </c>
      <c r="AJ149" s="172">
        <f>IF(VLOOKUP(E149,'Pre-Assessment Estimator'!$E$11:$Z$225,'Pre-Assessment Estimator'!$N$2,FALSE)&gt;AB149,AB149,VLOOKUP(E149,'Pre-Assessment Estimator'!$E$11:$Z$225,'Pre-Assessment Estimator'!$N$2,FALSE))</f>
        <v>0</v>
      </c>
      <c r="AK149" s="172">
        <f>IF(VLOOKUP(E149,'Pre-Assessment Estimator'!$E$11:$Z$225,'Pre-Assessment Estimator'!$U$2,FALSE)&gt;AB149,AB149,VLOOKUP(E149,'Pre-Assessment Estimator'!$E$11:$Z$225,'Pre-Assessment Estimator'!$U$2,FALSE))</f>
        <v>0</v>
      </c>
      <c r="AM149" s="850"/>
      <c r="AN149" s="851"/>
      <c r="AO149" s="851"/>
      <c r="AP149" s="851"/>
      <c r="AQ149" s="843"/>
      <c r="AR149" s="139"/>
      <c r="AS149" s="850"/>
      <c r="AT149" s="851"/>
      <c r="AU149" s="851"/>
      <c r="AV149" s="851"/>
      <c r="AW149" s="843"/>
      <c r="AY149" s="731"/>
      <c r="AZ149" s="733"/>
      <c r="BA149" s="733"/>
      <c r="BB149" s="733"/>
      <c r="BC149" s="856"/>
      <c r="BD149" s="182">
        <f t="shared" si="368"/>
        <v>9</v>
      </c>
      <c r="BE149" s="164" t="str">
        <f t="shared" si="308"/>
        <v>N/A</v>
      </c>
      <c r="BF149" s="185"/>
      <c r="BG149" s="182">
        <f t="shared" si="369"/>
        <v>9</v>
      </c>
      <c r="BH149" s="164" t="str">
        <f t="shared" si="310"/>
        <v>N/A</v>
      </c>
      <c r="BI149" s="185"/>
      <c r="BJ149" s="182">
        <f t="shared" si="370"/>
        <v>9</v>
      </c>
      <c r="BK149" s="164" t="str">
        <f t="shared" si="311"/>
        <v>N/A</v>
      </c>
      <c r="BL149" s="847"/>
      <c r="BO149" s="167"/>
      <c r="BP149" s="167"/>
      <c r="BQ149" s="167"/>
      <c r="BR149" s="167">
        <f t="shared" si="198"/>
        <v>9</v>
      </c>
      <c r="BS149" s="167">
        <f t="shared" si="199"/>
        <v>9</v>
      </c>
      <c r="BT149" s="167">
        <f t="shared" si="200"/>
        <v>9</v>
      </c>
      <c r="BW149" s="707"/>
      <c r="BX149" s="707"/>
      <c r="BY149" s="707"/>
      <c r="BZ149" s="707"/>
      <c r="CA149" s="707"/>
      <c r="CB149" s="707"/>
    </row>
    <row r="150" spans="1:81" x14ac:dyDescent="0.25">
      <c r="A150" s="96">
        <v>142</v>
      </c>
      <c r="B150" s="96" t="str">
        <f t="shared" si="371"/>
        <v>Mat 07b</v>
      </c>
      <c r="C150" s="96" t="str">
        <f t="shared" si="344"/>
        <v>Mat 07</v>
      </c>
      <c r="D150" s="947" t="s">
        <v>697</v>
      </c>
      <c r="E150" s="1255" t="s">
        <v>1077</v>
      </c>
      <c r="F150" s="775">
        <v>1</v>
      </c>
      <c r="G150" s="775">
        <v>1</v>
      </c>
      <c r="H150" s="775">
        <v>1</v>
      </c>
      <c r="I150" s="775">
        <v>1</v>
      </c>
      <c r="J150" s="775">
        <v>1</v>
      </c>
      <c r="K150" s="775">
        <v>1</v>
      </c>
      <c r="L150" s="775">
        <v>1</v>
      </c>
      <c r="M150" s="775">
        <v>1</v>
      </c>
      <c r="N150" s="775">
        <v>1</v>
      </c>
      <c r="O150" s="775">
        <v>1</v>
      </c>
      <c r="P150" s="775">
        <v>1</v>
      </c>
      <c r="Q150" s="775">
        <v>1</v>
      </c>
      <c r="R150" s="775">
        <v>1</v>
      </c>
      <c r="T150" s="221">
        <f t="shared" si="298"/>
        <v>1</v>
      </c>
      <c r="U150" s="192"/>
      <c r="V150" s="193"/>
      <c r="W150" s="193"/>
      <c r="X150" s="193"/>
      <c r="Y150" s="1166"/>
      <c r="Z150" s="168">
        <f>VLOOKUP(B150,'Manuell filtrering og justering'!$A$7:$H$253,'Manuell filtrering og justering'!$H$1,FALSE)</f>
        <v>1</v>
      </c>
      <c r="AA150" s="169">
        <f t="shared" si="300"/>
        <v>0</v>
      </c>
      <c r="AB150" s="170">
        <f>IF($AC$5='Manuell filtrering og justering'!$J$2,Z150,(T150-AA150))</f>
        <v>1</v>
      </c>
      <c r="AD150" s="171">
        <f t="shared" si="301"/>
        <v>8.0952380952380963E-3</v>
      </c>
      <c r="AE150" s="171">
        <f t="shared" si="312"/>
        <v>0</v>
      </c>
      <c r="AF150" s="171">
        <f t="shared" si="313"/>
        <v>0</v>
      </c>
      <c r="AG150" s="171">
        <f t="shared" si="314"/>
        <v>0</v>
      </c>
      <c r="AI150" s="172">
        <f>IF(VLOOKUP(E150,'Pre-Assessment Estimator'!$E$11:$Z$225,'Pre-Assessment Estimator'!$G$2,FALSE)&gt;AB150,AB150,VLOOKUP(E150,'Pre-Assessment Estimator'!$E$11:$Z$225,'Pre-Assessment Estimator'!$G$2,FALSE))</f>
        <v>0</v>
      </c>
      <c r="AJ150" s="172">
        <f>IF(VLOOKUP(E150,'Pre-Assessment Estimator'!$E$11:$Z$225,'Pre-Assessment Estimator'!$N$2,FALSE)&gt;AB150,AB150,VLOOKUP(E150,'Pre-Assessment Estimator'!$E$11:$Z$225,'Pre-Assessment Estimator'!$N$2,FALSE))</f>
        <v>0</v>
      </c>
      <c r="AK150" s="172">
        <f>IF(VLOOKUP(E150,'Pre-Assessment Estimator'!$E$11:$Z$225,'Pre-Assessment Estimator'!$U$2,FALSE)&gt;AB150,AB150,VLOOKUP(E150,'Pre-Assessment Estimator'!$E$11:$Z$225,'Pre-Assessment Estimator'!$U$2,FALSE))</f>
        <v>0</v>
      </c>
      <c r="AM150" s="850"/>
      <c r="AN150" s="851"/>
      <c r="AO150" s="851"/>
      <c r="AP150" s="851">
        <v>1</v>
      </c>
      <c r="AQ150" s="843">
        <v>1</v>
      </c>
      <c r="AR150" s="139"/>
      <c r="AS150" s="850"/>
      <c r="AT150" s="851"/>
      <c r="AU150" s="851"/>
      <c r="AV150" s="851">
        <v>1</v>
      </c>
      <c r="AW150" s="843">
        <v>1</v>
      </c>
      <c r="AY150" s="731"/>
      <c r="AZ150" s="733"/>
      <c r="BA150" s="733"/>
      <c r="BB150" s="183">
        <f>IF($AB150=0,0,IF($E$6=$H$9,AV150,AP150))</f>
        <v>1</v>
      </c>
      <c r="BC150" s="183">
        <f>IF($AB150=0,0,IF($E$6=$H$9,AW150,AQ150))</f>
        <v>1</v>
      </c>
      <c r="BD150" s="182">
        <f t="shared" si="368"/>
        <v>3</v>
      </c>
      <c r="BE150" s="164" t="str">
        <f t="shared" si="308"/>
        <v>Very Good</v>
      </c>
      <c r="BF150" s="185"/>
      <c r="BG150" s="182">
        <f t="shared" si="369"/>
        <v>3</v>
      </c>
      <c r="BH150" s="164" t="str">
        <f t="shared" si="310"/>
        <v>Very Good</v>
      </c>
      <c r="BI150" s="185"/>
      <c r="BJ150" s="182">
        <f t="shared" si="370"/>
        <v>3</v>
      </c>
      <c r="BK150" s="164" t="str">
        <f t="shared" si="311"/>
        <v>Very Good</v>
      </c>
      <c r="BL150" s="847"/>
      <c r="BO150" s="167"/>
      <c r="BP150" s="167">
        <v>1</v>
      </c>
      <c r="BQ150" s="167">
        <f t="shared" si="342"/>
        <v>1</v>
      </c>
      <c r="BR150" s="167">
        <f t="shared" si="198"/>
        <v>0</v>
      </c>
      <c r="BS150" s="167">
        <f t="shared" si="199"/>
        <v>0</v>
      </c>
      <c r="BT150" s="167">
        <f t="shared" si="200"/>
        <v>0</v>
      </c>
      <c r="BW150" s="707"/>
      <c r="BX150" s="707"/>
      <c r="BY150" s="707"/>
      <c r="BZ150" s="707"/>
      <c r="CA150" s="707"/>
      <c r="CB150" s="707"/>
    </row>
    <row r="151" spans="1:81" ht="15.75" thickBot="1" x14ac:dyDescent="0.3">
      <c r="A151" s="96">
        <v>143</v>
      </c>
      <c r="B151" s="96" t="str">
        <f t="shared" si="371"/>
        <v>Mat 07c</v>
      </c>
      <c r="C151" s="96" t="str">
        <f t="shared" si="344"/>
        <v>Mat 07</v>
      </c>
      <c r="D151" s="948" t="s">
        <v>698</v>
      </c>
      <c r="E151" s="1256" t="s">
        <v>1078</v>
      </c>
      <c r="F151" s="944">
        <v>1</v>
      </c>
      <c r="G151" s="944">
        <v>1</v>
      </c>
      <c r="H151" s="944">
        <v>1</v>
      </c>
      <c r="I151" s="944">
        <v>1</v>
      </c>
      <c r="J151" s="944">
        <v>1</v>
      </c>
      <c r="K151" s="944">
        <v>1</v>
      </c>
      <c r="L151" s="944">
        <v>1</v>
      </c>
      <c r="M151" s="944">
        <v>1</v>
      </c>
      <c r="N151" s="944">
        <v>1</v>
      </c>
      <c r="O151" s="944">
        <v>1</v>
      </c>
      <c r="P151" s="944">
        <v>1</v>
      </c>
      <c r="Q151" s="944">
        <v>1</v>
      </c>
      <c r="R151" s="944">
        <v>1</v>
      </c>
      <c r="T151" s="221">
        <f t="shared" si="298"/>
        <v>1</v>
      </c>
      <c r="U151" s="192"/>
      <c r="V151" s="193"/>
      <c r="W151" s="193"/>
      <c r="X151" s="193"/>
      <c r="Y151" s="1166"/>
      <c r="Z151" s="168">
        <f>VLOOKUP(B151,'Manuell filtrering og justering'!$A$7:$H$253,'Manuell filtrering og justering'!$H$1,FALSE)</f>
        <v>1</v>
      </c>
      <c r="AA151" s="169">
        <f t="shared" si="300"/>
        <v>0</v>
      </c>
      <c r="AB151" s="170">
        <f>IF($AC$5='Manuell filtrering og justering'!$J$2,Z151,(T151-AA151))</f>
        <v>1</v>
      </c>
      <c r="AD151" s="171">
        <f t="shared" si="301"/>
        <v>8.0952380952380963E-3</v>
      </c>
      <c r="AE151" s="171">
        <f t="shared" si="312"/>
        <v>0</v>
      </c>
      <c r="AF151" s="171">
        <f t="shared" si="313"/>
        <v>0</v>
      </c>
      <c r="AG151" s="171">
        <f t="shared" si="314"/>
        <v>0</v>
      </c>
      <c r="AI151" s="172">
        <f>IF(VLOOKUP(E151,'Pre-Assessment Estimator'!$E$11:$Z$225,'Pre-Assessment Estimator'!$G$2,FALSE)&gt;AB151,AB151,VLOOKUP(E151,'Pre-Assessment Estimator'!$E$11:$Z$225,'Pre-Assessment Estimator'!$G$2,FALSE))</f>
        <v>0</v>
      </c>
      <c r="AJ151" s="172">
        <f>IF(VLOOKUP(E151,'Pre-Assessment Estimator'!$E$11:$Z$225,'Pre-Assessment Estimator'!$N$2,FALSE)&gt;AB151,AB151,VLOOKUP(E151,'Pre-Assessment Estimator'!$E$11:$Z$225,'Pre-Assessment Estimator'!$N$2,FALSE))</f>
        <v>0</v>
      </c>
      <c r="AK151" s="172">
        <f>IF(VLOOKUP(E151,'Pre-Assessment Estimator'!$E$11:$Z$225,'Pre-Assessment Estimator'!$U$2,FALSE)&gt;AB151,AB151,VLOOKUP(E151,'Pre-Assessment Estimator'!$E$11:$Z$225,'Pre-Assessment Estimator'!$U$2,FALSE))</f>
        <v>0</v>
      </c>
      <c r="AM151" s="850"/>
      <c r="AN151" s="851"/>
      <c r="AO151" s="851"/>
      <c r="AP151" s="851">
        <v>1</v>
      </c>
      <c r="AQ151" s="843">
        <v>1</v>
      </c>
      <c r="AR151" s="139"/>
      <c r="AS151" s="850"/>
      <c r="AT151" s="851"/>
      <c r="AU151" s="851"/>
      <c r="AV151" s="851">
        <v>1</v>
      </c>
      <c r="AW151" s="843">
        <v>1</v>
      </c>
      <c r="AY151" s="731"/>
      <c r="AZ151" s="733"/>
      <c r="BA151" s="733"/>
      <c r="BB151" s="183">
        <f>IF($AB151=0,0,IF($E$6=$H$9,AV151,AP151))</f>
        <v>1</v>
      </c>
      <c r="BC151" s="183">
        <f>IF($AB151=0,0,IF($E$6=$H$9,AW151,AQ151))</f>
        <v>1</v>
      </c>
      <c r="BD151" s="182">
        <f t="shared" si="368"/>
        <v>3</v>
      </c>
      <c r="BE151" s="164" t="str">
        <f t="shared" si="308"/>
        <v>Very Good</v>
      </c>
      <c r="BF151" s="185"/>
      <c r="BG151" s="182">
        <f t="shared" si="369"/>
        <v>3</v>
      </c>
      <c r="BH151" s="164" t="str">
        <f t="shared" si="310"/>
        <v>Very Good</v>
      </c>
      <c r="BI151" s="185"/>
      <c r="BJ151" s="182">
        <f t="shared" si="370"/>
        <v>3</v>
      </c>
      <c r="BK151" s="164" t="str">
        <f t="shared" si="311"/>
        <v>Very Good</v>
      </c>
      <c r="BL151" s="847"/>
      <c r="BO151" s="167"/>
      <c r="BP151" s="167">
        <v>1</v>
      </c>
      <c r="BQ151" s="167">
        <f t="shared" si="342"/>
        <v>1</v>
      </c>
      <c r="BR151" s="167">
        <f t="shared" si="198"/>
        <v>0</v>
      </c>
      <c r="BS151" s="167">
        <f t="shared" si="199"/>
        <v>0</v>
      </c>
      <c r="BT151" s="167">
        <f t="shared" si="200"/>
        <v>0</v>
      </c>
      <c r="BW151" s="707"/>
      <c r="BX151" s="707"/>
      <c r="BY151" s="707"/>
      <c r="BZ151" s="707"/>
      <c r="CA151" s="707"/>
      <c r="CB151" s="707"/>
    </row>
    <row r="152" spans="1:81" ht="15.75" thickBot="1" x14ac:dyDescent="0.3">
      <c r="A152" s="96">
        <v>144</v>
      </c>
      <c r="B152" s="96" t="s">
        <v>888</v>
      </c>
      <c r="D152" s="711"/>
      <c r="E152" s="710" t="s">
        <v>215</v>
      </c>
      <c r="F152" s="774">
        <f>F126+F130+F134+F138+F144+F148</f>
        <v>21</v>
      </c>
      <c r="G152" s="774">
        <f t="shared" ref="G152:R152" si="372">G126+G130+G134+G138+G144+G148</f>
        <v>21</v>
      </c>
      <c r="H152" s="774">
        <f t="shared" si="372"/>
        <v>21</v>
      </c>
      <c r="I152" s="774">
        <f t="shared" si="372"/>
        <v>21</v>
      </c>
      <c r="J152" s="774">
        <f t="shared" si="372"/>
        <v>21</v>
      </c>
      <c r="K152" s="774">
        <f t="shared" si="372"/>
        <v>21</v>
      </c>
      <c r="L152" s="774">
        <f t="shared" si="372"/>
        <v>21</v>
      </c>
      <c r="M152" s="774">
        <f t="shared" si="372"/>
        <v>21</v>
      </c>
      <c r="N152" s="774">
        <f t="shared" si="372"/>
        <v>21</v>
      </c>
      <c r="O152" s="774">
        <f t="shared" si="372"/>
        <v>21</v>
      </c>
      <c r="P152" s="774">
        <f t="shared" si="372"/>
        <v>21</v>
      </c>
      <c r="Q152" s="774">
        <f t="shared" ref="Q152" si="373">Q126+Q130+Q134+Q138+Q144+Q148</f>
        <v>21</v>
      </c>
      <c r="R152" s="774">
        <f t="shared" si="372"/>
        <v>21</v>
      </c>
      <c r="T152" s="226">
        <f t="shared" si="298"/>
        <v>21</v>
      </c>
      <c r="U152" s="204"/>
      <c r="V152" s="205"/>
      <c r="W152" s="205"/>
      <c r="X152" s="205"/>
      <c r="Y152" s="206"/>
      <c r="Z152" s="206"/>
      <c r="AA152" s="774">
        <f t="shared" ref="AA152:AG152" si="374">AA126+AA130+AA134+AA138+AA144+AA148</f>
        <v>0</v>
      </c>
      <c r="AB152" s="774">
        <f t="shared" si="374"/>
        <v>21</v>
      </c>
      <c r="AD152" s="208">
        <f t="shared" si="374"/>
        <v>0.17000000000000004</v>
      </c>
      <c r="AE152" s="208">
        <f t="shared" si="374"/>
        <v>0</v>
      </c>
      <c r="AF152" s="208">
        <f t="shared" si="374"/>
        <v>0</v>
      </c>
      <c r="AG152" s="208">
        <f t="shared" si="374"/>
        <v>0</v>
      </c>
      <c r="AI152" s="78">
        <f t="shared" ref="AI152:AK152" si="375">AI126+AI130+AI134+AI138+AI144+AI148</f>
        <v>0</v>
      </c>
      <c r="AJ152" s="78">
        <f t="shared" si="375"/>
        <v>0</v>
      </c>
      <c r="AK152" s="78">
        <f t="shared" si="375"/>
        <v>0</v>
      </c>
      <c r="AM152" s="139"/>
      <c r="AN152" s="139"/>
      <c r="AO152" s="139"/>
      <c r="AP152" s="139"/>
      <c r="AQ152" s="139"/>
      <c r="AR152" s="139"/>
      <c r="AS152" s="139"/>
      <c r="AT152" s="139"/>
      <c r="AU152" s="139"/>
      <c r="AV152" s="139"/>
      <c r="AW152" s="139"/>
      <c r="AY152" s="97"/>
      <c r="AZ152" s="209"/>
      <c r="BA152" s="97"/>
      <c r="BB152" s="97"/>
      <c r="BC152" s="97"/>
      <c r="BW152" s="202"/>
      <c r="BX152" s="202" t="str">
        <f>IFERROR(VLOOKUP($E152,'Pre-Assessment Estimator'!$E$11:$AB$225,'Pre-Assessment Estimator'!AB$2,FALSE),"")</f>
        <v/>
      </c>
      <c r="BY152" s="202" t="str">
        <f>IFERROR(VLOOKUP($E152,'Pre-Assessment Estimator'!$E$11:$AI$225,'Pre-Assessment Estimator'!AI$2,FALSE),"")</f>
        <v/>
      </c>
      <c r="BZ152" s="202" t="str">
        <f t="shared" ref="BZ152:CA155" si="376">IFERROR(VLOOKUP($BX152,$E$292:$H$325,F$290,FALSE),"")</f>
        <v/>
      </c>
      <c r="CA152" s="202" t="str">
        <f t="shared" si="376"/>
        <v/>
      </c>
      <c r="CB152" s="202"/>
      <c r="CC152" s="96" t="str">
        <f>IFERROR(VLOOKUP($BX152,$E$292:$H$325,I$290,FALSE),"")</f>
        <v/>
      </c>
    </row>
    <row r="153" spans="1:81" ht="15.75" thickBot="1" x14ac:dyDescent="0.3">
      <c r="A153" s="96">
        <v>145</v>
      </c>
      <c r="AI153" s="3"/>
      <c r="AJ153" s="3"/>
      <c r="AK153" s="3"/>
      <c r="AM153" s="139"/>
      <c r="AN153" s="139"/>
      <c r="AO153" s="139"/>
      <c r="AP153" s="139"/>
      <c r="AQ153" s="139"/>
      <c r="AR153" s="139"/>
      <c r="AS153" s="139"/>
      <c r="AT153" s="139"/>
      <c r="AU153" s="139"/>
      <c r="AV153" s="139"/>
      <c r="AW153" s="139"/>
      <c r="AY153" s="97"/>
      <c r="AZ153" s="97"/>
      <c r="BA153" s="97"/>
      <c r="BB153" s="97"/>
      <c r="BC153" s="97"/>
      <c r="BX153" s="96" t="str">
        <f>IFERROR(VLOOKUP($E153,'Pre-Assessment Estimator'!$E$11:$AB$225,'Pre-Assessment Estimator'!AB$2,FALSE),"")</f>
        <v/>
      </c>
      <c r="BY153" s="96" t="str">
        <f>IFERROR(VLOOKUP($E153,'Pre-Assessment Estimator'!$E$11:$AI$225,'Pre-Assessment Estimator'!AI$2,FALSE),"")</f>
        <v/>
      </c>
      <c r="BZ153" s="96" t="str">
        <f t="shared" si="376"/>
        <v/>
      </c>
      <c r="CA153" s="96" t="str">
        <f t="shared" si="376"/>
        <v/>
      </c>
      <c r="CC153" s="96" t="str">
        <f>IFERROR(VLOOKUP($BX153,$E$292:$H$325,I$290,FALSE),"")</f>
        <v/>
      </c>
    </row>
    <row r="154" spans="1:81" ht="60.75" thickBot="1" x14ac:dyDescent="0.3">
      <c r="A154" s="96">
        <v>146</v>
      </c>
      <c r="D154" s="145"/>
      <c r="E154" s="146" t="s">
        <v>70</v>
      </c>
      <c r="F154" s="1243" t="str">
        <f>$F$9</f>
        <v>Office</v>
      </c>
      <c r="G154" s="1243" t="str">
        <f>$G$9</f>
        <v>Retail</v>
      </c>
      <c r="H154" s="1247" t="str">
        <f>$H$9</f>
        <v>Residential</v>
      </c>
      <c r="I154" s="1243" t="str">
        <f>$I$9</f>
        <v>Industrial</v>
      </c>
      <c r="J154" s="1245" t="str">
        <f>$J$9</f>
        <v>Healthcare</v>
      </c>
      <c r="K154" s="1245" t="str">
        <f>$K$9</f>
        <v>Prison</v>
      </c>
      <c r="L154" s="1245" t="str">
        <f>$L$9</f>
        <v>Law Court</v>
      </c>
      <c r="M154" s="1249" t="str">
        <f>$M$9</f>
        <v>Residential institution (long term stay)</v>
      </c>
      <c r="N154" s="918" t="str">
        <f>$N$9</f>
        <v>Residential institution (short term stay)</v>
      </c>
      <c r="O154" s="918" t="str">
        <f>$O$9</f>
        <v>Non-residential institution</v>
      </c>
      <c r="P154" s="918" t="str">
        <f>$P$9</f>
        <v>Assembly and leisure</v>
      </c>
      <c r="Q154" s="1245" t="str">
        <f>$Q$9</f>
        <v>Education</v>
      </c>
      <c r="R154" s="857" t="str">
        <f>$R$9</f>
        <v>Other</v>
      </c>
      <c r="T154" s="138" t="str">
        <f>$E$6</f>
        <v>Office</v>
      </c>
      <c r="U154" s="210"/>
      <c r="V154" s="211"/>
      <c r="W154" s="211"/>
      <c r="X154" s="211"/>
      <c r="Y154" s="1167" t="s">
        <v>413</v>
      </c>
      <c r="Z154" s="347" t="s">
        <v>336</v>
      </c>
      <c r="AA154" s="150" t="s">
        <v>215</v>
      </c>
      <c r="AB154" s="59" t="s">
        <v>15</v>
      </c>
      <c r="AI154" s="42"/>
      <c r="AJ154" s="60"/>
      <c r="AK154" s="60"/>
      <c r="AM154" s="139"/>
      <c r="AN154" s="139"/>
      <c r="AO154" s="139"/>
      <c r="AP154" s="139"/>
      <c r="AQ154" s="139"/>
      <c r="AR154" s="139"/>
      <c r="AS154" s="139"/>
      <c r="AT154" s="139"/>
      <c r="AU154" s="139"/>
      <c r="AV154" s="139"/>
      <c r="AW154" s="139"/>
      <c r="AY154" s="97"/>
      <c r="AZ154" s="97"/>
      <c r="BA154" s="97"/>
      <c r="BB154" s="97"/>
      <c r="BC154" s="97"/>
      <c r="BO154" s="60"/>
      <c r="BP154" s="60"/>
      <c r="BQ154" s="60"/>
      <c r="BR154" s="60"/>
      <c r="BS154" s="60"/>
      <c r="BT154" s="60"/>
      <c r="BW154" s="146"/>
      <c r="BX154" s="146" t="str">
        <f>E154</f>
        <v>Waste</v>
      </c>
      <c r="BY154" s="146">
        <f>IFERROR(VLOOKUP($E154,'Pre-Assessment Estimator'!$E$11:$AI$225,'Pre-Assessment Estimator'!AI$2,FALSE),"")</f>
        <v>0</v>
      </c>
      <c r="BZ154" s="146" t="str">
        <f t="shared" si="376"/>
        <v/>
      </c>
      <c r="CA154" s="146" t="str">
        <f t="shared" si="376"/>
        <v/>
      </c>
      <c r="CB154" s="146"/>
      <c r="CC154" s="96" t="str">
        <f>IFERROR(VLOOKUP($BX154,$E$292:$H$325,I$290,FALSE),"")</f>
        <v/>
      </c>
    </row>
    <row r="155" spans="1:81" x14ac:dyDescent="0.25">
      <c r="A155" s="96">
        <v>147</v>
      </c>
      <c r="B155" s="137" t="str">
        <f>D155</f>
        <v>Wst 01</v>
      </c>
      <c r="C155" s="137" t="str">
        <f>B155</f>
        <v>Wst 01</v>
      </c>
      <c r="D155" s="833" t="s">
        <v>178</v>
      </c>
      <c r="E155" s="831" t="s">
        <v>160</v>
      </c>
      <c r="F155" s="933">
        <f>SUM(F156:F158)</f>
        <v>5</v>
      </c>
      <c r="G155" s="933">
        <f t="shared" ref="G155:R155" si="377">SUM(G156:G158)</f>
        <v>5</v>
      </c>
      <c r="H155" s="933">
        <f t="shared" si="377"/>
        <v>5</v>
      </c>
      <c r="I155" s="933">
        <f t="shared" si="377"/>
        <v>5</v>
      </c>
      <c r="J155" s="933">
        <f t="shared" si="377"/>
        <v>5</v>
      </c>
      <c r="K155" s="933">
        <f t="shared" si="377"/>
        <v>5</v>
      </c>
      <c r="L155" s="933">
        <f t="shared" si="377"/>
        <v>5</v>
      </c>
      <c r="M155" s="933">
        <f t="shared" si="377"/>
        <v>5</v>
      </c>
      <c r="N155" s="933">
        <f t="shared" si="377"/>
        <v>5</v>
      </c>
      <c r="O155" s="933">
        <f t="shared" si="377"/>
        <v>5</v>
      </c>
      <c r="P155" s="933">
        <f t="shared" si="377"/>
        <v>5</v>
      </c>
      <c r="Q155" s="933">
        <f t="shared" ref="Q155" si="378">SUM(Q156:Q158)</f>
        <v>5</v>
      </c>
      <c r="R155" s="933">
        <f t="shared" si="377"/>
        <v>5</v>
      </c>
      <c r="S155" s="367"/>
      <c r="T155" s="961">
        <f>HLOOKUP($E$6,$F$9:$R$231,$A155,FALSE)</f>
        <v>5</v>
      </c>
      <c r="U155" s="222"/>
      <c r="V155" s="230"/>
      <c r="W155" s="230"/>
      <c r="X155" s="230">
        <f>'Manuell filtrering og justering'!E68</f>
        <v>0</v>
      </c>
      <c r="Y155" s="230"/>
      <c r="Z155" s="933">
        <f t="shared" ref="Z155" si="379">SUM(Z156:Z158)</f>
        <v>5</v>
      </c>
      <c r="AA155" s="963">
        <f>IF(SUM(U155:Y155)&gt;T155,T155,SUM(U155:Y155))</f>
        <v>0</v>
      </c>
      <c r="AB155" s="1067">
        <f>SUM(AB156:AB158)</f>
        <v>5</v>
      </c>
      <c r="AD155" s="171">
        <f t="shared" ref="AD155:AD165" si="380">(Wst_Weight/Wst_Credits)*AB155</f>
        <v>0.05</v>
      </c>
      <c r="AE155" s="921">
        <f>SUM(AE156:AE158)</f>
        <v>0</v>
      </c>
      <c r="AF155" s="921">
        <f t="shared" ref="AF155" si="381">SUM(AF156:AF158)</f>
        <v>0</v>
      </c>
      <c r="AG155" s="921">
        <f t="shared" ref="AG155" si="382">SUM(AG156:AG158)</f>
        <v>0</v>
      </c>
      <c r="AI155" s="933">
        <f t="shared" ref="AI155" si="383">SUM(AI156:AI158)</f>
        <v>0</v>
      </c>
      <c r="AJ155" s="933">
        <f t="shared" ref="AJ155" si="384">SUM(AJ156:AJ158)</f>
        <v>0</v>
      </c>
      <c r="AK155" s="933">
        <f t="shared" ref="AK155" si="385">SUM(AK156:AK158)</f>
        <v>0</v>
      </c>
      <c r="AM155" s="298"/>
      <c r="AN155" s="299"/>
      <c r="AO155" s="299"/>
      <c r="AP155" s="299"/>
      <c r="AQ155" s="300"/>
      <c r="AR155" s="139"/>
      <c r="AS155" s="298"/>
      <c r="AT155" s="299"/>
      <c r="AU155" s="299"/>
      <c r="AV155" s="299"/>
      <c r="AW155" s="300"/>
      <c r="AY155" s="174"/>
      <c r="AZ155" s="175"/>
      <c r="BA155" s="175"/>
      <c r="BB155" s="175"/>
      <c r="BC155" s="228"/>
      <c r="BD155" s="174">
        <f t="shared" si="60"/>
        <v>9</v>
      </c>
      <c r="BE155" s="164" t="str">
        <f t="shared" ref="BE155:BE165" si="386">VLOOKUP(BD155,$BO$283:$BT$289,6,FALSE)</f>
        <v>N/A</v>
      </c>
      <c r="BF155" s="178"/>
      <c r="BG155" s="174">
        <f>IF(BC155=0,9,IF(AJ155&gt;=BC155,5,IF(AJ155&gt;=BB155,4,IF(AJ155&gt;=BA155,3,IF(AJ155&gt;=AZ155,2,IF(AJ155&lt;AY155,0,1))))))</f>
        <v>9</v>
      </c>
      <c r="BH155" s="164" t="str">
        <f t="shared" ref="BH155:BH165" si="387">VLOOKUP(BG155,$BO$283:$BT$289,6,FALSE)</f>
        <v>N/A</v>
      </c>
      <c r="BI155" s="178"/>
      <c r="BJ155" s="174">
        <f t="shared" si="28"/>
        <v>9</v>
      </c>
      <c r="BK155" s="164" t="str">
        <f t="shared" ref="BK155:BK165" si="388">VLOOKUP(BJ155,$BO$283:$BT$289,6,FALSE)</f>
        <v>N/A</v>
      </c>
      <c r="BL155" s="178"/>
      <c r="BO155" s="167"/>
      <c r="BP155" s="167"/>
      <c r="BQ155" s="167" t="str">
        <f t="shared" si="342"/>
        <v/>
      </c>
      <c r="BR155" s="167">
        <f t="shared" si="198"/>
        <v>9</v>
      </c>
      <c r="BS155" s="167">
        <f t="shared" si="199"/>
        <v>9</v>
      </c>
      <c r="BT155" s="167">
        <f t="shared" si="200"/>
        <v>9</v>
      </c>
      <c r="BW155" s="164" t="str">
        <f>D155</f>
        <v>Wst 01</v>
      </c>
      <c r="BX155" s="164" t="str">
        <f>IFERROR(VLOOKUP($E155,'Pre-Assessment Estimator'!$E$11:$AB$225,'Pre-Assessment Estimator'!AB$2,FALSE),"")</f>
        <v>N/A</v>
      </c>
      <c r="BY155" s="164">
        <f>IFERROR(VLOOKUP($E155,'Pre-Assessment Estimator'!$E$11:$AI$225,'Pre-Assessment Estimator'!AI$2,FALSE),"")</f>
        <v>0</v>
      </c>
      <c r="BZ155" s="164">
        <f t="shared" si="376"/>
        <v>1</v>
      </c>
      <c r="CA155" s="164">
        <f t="shared" si="376"/>
        <v>0</v>
      </c>
      <c r="CB155" s="164"/>
      <c r="CC155" s="96" t="s">
        <v>431</v>
      </c>
    </row>
    <row r="156" spans="1:81" x14ac:dyDescent="0.25">
      <c r="A156" s="96">
        <v>148</v>
      </c>
      <c r="B156" s="96" t="str">
        <f t="shared" ref="B156:B158" si="389">$D$155&amp;D156</f>
        <v>Wst 01a</v>
      </c>
      <c r="C156" s="96" t="str">
        <f t="shared" si="344"/>
        <v>Wst 01</v>
      </c>
      <c r="D156" s="163" t="s">
        <v>694</v>
      </c>
      <c r="E156" s="1124" t="s">
        <v>666</v>
      </c>
      <c r="F156" s="949">
        <v>1</v>
      </c>
      <c r="G156" s="949">
        <v>1</v>
      </c>
      <c r="H156" s="949">
        <v>1</v>
      </c>
      <c r="I156" s="949">
        <v>1</v>
      </c>
      <c r="J156" s="949">
        <v>1</v>
      </c>
      <c r="K156" s="949">
        <v>1</v>
      </c>
      <c r="L156" s="949">
        <v>1</v>
      </c>
      <c r="M156" s="949">
        <v>1</v>
      </c>
      <c r="N156" s="949">
        <v>1</v>
      </c>
      <c r="O156" s="949">
        <v>1</v>
      </c>
      <c r="P156" s="949">
        <v>1</v>
      </c>
      <c r="Q156" s="949">
        <v>1</v>
      </c>
      <c r="R156" s="949">
        <v>1</v>
      </c>
      <c r="S156" s="367"/>
      <c r="T156" s="221">
        <f>HLOOKUP($E$6,$F$9:$R$231,$A156,FALSE)</f>
        <v>1</v>
      </c>
      <c r="U156" s="166"/>
      <c r="V156" s="167"/>
      <c r="W156" s="167"/>
      <c r="X156" s="167"/>
      <c r="Y156" s="168"/>
      <c r="Z156" s="168">
        <f>VLOOKUP(B156,'Manuell filtrering og justering'!$A$7:$H$253,'Manuell filtrering og justering'!$H$1,FALSE)</f>
        <v>1</v>
      </c>
      <c r="AA156" s="169">
        <f>IF(SUM(U156:Y156)&gt;T156,T156,SUM(U156:Y156))</f>
        <v>0</v>
      </c>
      <c r="AB156" s="170">
        <f>IF($AC$5='Manuell filtrering og justering'!$J$2,Z156,(T156-AA156))</f>
        <v>1</v>
      </c>
      <c r="AD156" s="171">
        <f t="shared" si="380"/>
        <v>0.01</v>
      </c>
      <c r="AE156" s="171">
        <f t="shared" ref="AE156:AE165" si="390">IF(AB156=0,0,(AD156/AB156)*AI156)</f>
        <v>0</v>
      </c>
      <c r="AF156" s="171">
        <f t="shared" ref="AF156:AF165" si="391">IF(AB156=0,0,(AD156/AB156)*AJ156)</f>
        <v>0</v>
      </c>
      <c r="AG156" s="171">
        <f t="shared" ref="AG156:AG165" si="392">IF(AB156=0,0,(AD156/AB156)*AK156)</f>
        <v>0</v>
      </c>
      <c r="AI156" s="172">
        <f>IF(VLOOKUP(E156,'Pre-Assessment Estimator'!$E$11:$Z$225,'Pre-Assessment Estimator'!$G$2,FALSE)&gt;AB156,AB156,VLOOKUP(E156,'Pre-Assessment Estimator'!$E$11:$Z$225,'Pre-Assessment Estimator'!$G$2,FALSE))</f>
        <v>0</v>
      </c>
      <c r="AJ156" s="172">
        <f>IF(VLOOKUP(E156,'Pre-Assessment Estimator'!$E$11:$Z$225,'Pre-Assessment Estimator'!$N$2,FALSE)&gt;AB156,AB156,VLOOKUP(E156,'Pre-Assessment Estimator'!$E$11:$Z$225,'Pre-Assessment Estimator'!$N$2,FALSE))</f>
        <v>0</v>
      </c>
      <c r="AK156" s="172">
        <f>IF(VLOOKUP(E156,'Pre-Assessment Estimator'!$E$11:$Z$225,'Pre-Assessment Estimator'!$U$2,FALSE)&gt;AB156,AB156,VLOOKUP(E156,'Pre-Assessment Estimator'!$E$11:$Z$225,'Pre-Assessment Estimator'!$U$2,FALSE))</f>
        <v>0</v>
      </c>
      <c r="AM156" s="835"/>
      <c r="AN156" s="836"/>
      <c r="AO156" s="836">
        <v>1</v>
      </c>
      <c r="AP156" s="836">
        <v>1</v>
      </c>
      <c r="AQ156" s="837">
        <v>1</v>
      </c>
      <c r="AR156" s="139"/>
      <c r="AS156" s="835"/>
      <c r="AT156" s="836"/>
      <c r="AU156" s="836">
        <v>1</v>
      </c>
      <c r="AV156" s="836">
        <v>1</v>
      </c>
      <c r="AW156" s="837">
        <v>1</v>
      </c>
      <c r="AY156" s="828"/>
      <c r="AZ156" s="829"/>
      <c r="BA156" s="183">
        <f>IF($AB156=0,0,IF($E$6=$H$9,AU156,AO156))</f>
        <v>1</v>
      </c>
      <c r="BB156" s="183">
        <f>IF($AB156=0,0,IF($E$6=$H$9,AV156,AP156))</f>
        <v>1</v>
      </c>
      <c r="BC156" s="183">
        <f>IF($AB156=0,0,IF($E$6=$H$9,AW156,AQ156))</f>
        <v>1</v>
      </c>
      <c r="BD156" s="182">
        <f t="shared" ref="BD156:BD157" si="393">IF(BC156=0,9,IF(AI156&gt;=BC156,5,IF(AI156&gt;=BB156,4,IF(AI156&gt;=BA156,3,IF(AI156&gt;=AZ156,2,IF(AI156&lt;AY156,0,1))))))</f>
        <v>2</v>
      </c>
      <c r="BE156" s="164" t="str">
        <f t="shared" si="386"/>
        <v>Good</v>
      </c>
      <c r="BF156" s="185"/>
      <c r="BG156" s="182">
        <f t="shared" ref="BG156:BG157" si="394">IF(BC156=0,9,IF(AJ156&gt;=BC156,5,IF(AJ156&gt;=BB156,4,IF(AJ156&gt;=BA156,3,IF(AJ156&gt;=AZ156,2,IF(AJ156&lt;AY156,0,1))))))</f>
        <v>2</v>
      </c>
      <c r="BH156" s="164" t="str">
        <f t="shared" si="387"/>
        <v>Good</v>
      </c>
      <c r="BI156" s="185"/>
      <c r="BJ156" s="182">
        <f t="shared" ref="BJ156:BJ157" si="395">IF(BC156=0,9,IF(AK156&gt;=BC156,5,IF(AK156&gt;=BB156,4,IF(AK156&gt;=BA156,3,IF(AK156&gt;=AZ156,2,IF(AK156&lt;AY156,0,1))))))</f>
        <v>2</v>
      </c>
      <c r="BK156" s="164" t="str">
        <f t="shared" si="388"/>
        <v>Good</v>
      </c>
      <c r="BL156" s="830"/>
      <c r="BO156" s="167"/>
      <c r="BP156" s="1183">
        <f>1*0</f>
        <v>0</v>
      </c>
      <c r="BQ156" s="167">
        <f t="shared" si="342"/>
        <v>0</v>
      </c>
      <c r="BR156" s="167">
        <f t="shared" si="198"/>
        <v>5</v>
      </c>
      <c r="BS156" s="167">
        <f t="shared" si="199"/>
        <v>5</v>
      </c>
      <c r="BT156" s="167">
        <f t="shared" si="200"/>
        <v>5</v>
      </c>
      <c r="BW156" s="164"/>
      <c r="BX156" s="164"/>
      <c r="BY156" s="164"/>
      <c r="BZ156" s="164"/>
      <c r="CA156" s="164"/>
      <c r="CB156" s="164"/>
    </row>
    <row r="157" spans="1:81" x14ac:dyDescent="0.25">
      <c r="A157" s="96">
        <v>149</v>
      </c>
      <c r="B157" s="96" t="str">
        <f t="shared" si="389"/>
        <v>Wst 01b</v>
      </c>
      <c r="C157" s="96" t="str">
        <f t="shared" si="344"/>
        <v>Wst 01</v>
      </c>
      <c r="D157" s="163" t="s">
        <v>697</v>
      </c>
      <c r="E157" s="1124" t="s">
        <v>667</v>
      </c>
      <c r="F157" s="949">
        <v>2</v>
      </c>
      <c r="G157" s="949">
        <v>2</v>
      </c>
      <c r="H157" s="949">
        <v>2</v>
      </c>
      <c r="I157" s="949">
        <v>2</v>
      </c>
      <c r="J157" s="949">
        <v>2</v>
      </c>
      <c r="K157" s="949">
        <v>2</v>
      </c>
      <c r="L157" s="949">
        <v>2</v>
      </c>
      <c r="M157" s="949">
        <v>2</v>
      </c>
      <c r="N157" s="949">
        <v>2</v>
      </c>
      <c r="O157" s="949">
        <v>2</v>
      </c>
      <c r="P157" s="949">
        <v>2</v>
      </c>
      <c r="Q157" s="949">
        <v>2</v>
      </c>
      <c r="R157" s="949">
        <v>2</v>
      </c>
      <c r="S157" s="367"/>
      <c r="T157" s="221">
        <f>HLOOKUP($E$6,$F$9:$R$231,$A157,FALSE)</f>
        <v>2</v>
      </c>
      <c r="U157" s="166"/>
      <c r="V157" s="167"/>
      <c r="W157" s="167"/>
      <c r="X157" s="167"/>
      <c r="Y157" s="168"/>
      <c r="Z157" s="168">
        <f>VLOOKUP(B157,'Manuell filtrering og justering'!$A$7:$H$253,'Manuell filtrering og justering'!$H$1,FALSE)</f>
        <v>2</v>
      </c>
      <c r="AA157" s="169">
        <f>IF(SUM(U157:Y157)&gt;T157,T157,SUM(U157:Y157))</f>
        <v>0</v>
      </c>
      <c r="AB157" s="170">
        <f>IF($AC$5='Manuell filtrering og justering'!$J$2,Z157,(T157-AA157))</f>
        <v>2</v>
      </c>
      <c r="AD157" s="171">
        <f t="shared" si="380"/>
        <v>0.02</v>
      </c>
      <c r="AE157" s="171">
        <f t="shared" si="390"/>
        <v>0</v>
      </c>
      <c r="AF157" s="171">
        <f t="shared" si="391"/>
        <v>0</v>
      </c>
      <c r="AG157" s="171">
        <f t="shared" si="392"/>
        <v>0</v>
      </c>
      <c r="AI157" s="172">
        <f>IF(VLOOKUP(E157,'Pre-Assessment Estimator'!$E$11:$Z$225,'Pre-Assessment Estimator'!$G$2,FALSE)&gt;AB157,AB157,VLOOKUP(E157,'Pre-Assessment Estimator'!$E$11:$Z$225,'Pre-Assessment Estimator'!$G$2,FALSE))</f>
        <v>0</v>
      </c>
      <c r="AJ157" s="172">
        <f>IF(VLOOKUP(E157,'Pre-Assessment Estimator'!$E$11:$Z$225,'Pre-Assessment Estimator'!$N$2,FALSE)&gt;AB157,AB157,VLOOKUP(E157,'Pre-Assessment Estimator'!$E$11:$Z$225,'Pre-Assessment Estimator'!$N$2,FALSE))</f>
        <v>0</v>
      </c>
      <c r="AK157" s="172">
        <f>IF(VLOOKUP(E157,'Pre-Assessment Estimator'!$E$11:$Z$225,'Pre-Assessment Estimator'!$U$2,FALSE)&gt;AB157,AB157,VLOOKUP(E157,'Pre-Assessment Estimator'!$E$11:$Z$225,'Pre-Assessment Estimator'!$U$2,FALSE))</f>
        <v>0</v>
      </c>
      <c r="AM157" s="835"/>
      <c r="AN157" s="836"/>
      <c r="AO157" s="836"/>
      <c r="AP157" s="836"/>
      <c r="AQ157" s="837">
        <v>1</v>
      </c>
      <c r="AR157" s="139"/>
      <c r="AS157" s="835"/>
      <c r="AT157" s="836"/>
      <c r="AU157" s="836"/>
      <c r="AV157" s="836"/>
      <c r="AW157" s="837">
        <v>1</v>
      </c>
      <c r="AY157" s="828"/>
      <c r="AZ157" s="829"/>
      <c r="BA157" s="829"/>
      <c r="BB157" s="829"/>
      <c r="BC157" s="183">
        <f>IF($AB157=0,0,IF($E$6=$H$9,AW157,AQ157))</f>
        <v>1</v>
      </c>
      <c r="BD157" s="182">
        <f t="shared" si="393"/>
        <v>4</v>
      </c>
      <c r="BE157" s="164" t="str">
        <f t="shared" si="386"/>
        <v>Excellent</v>
      </c>
      <c r="BF157" s="185"/>
      <c r="BG157" s="182">
        <f t="shared" si="394"/>
        <v>4</v>
      </c>
      <c r="BH157" s="164" t="str">
        <f t="shared" si="387"/>
        <v>Excellent</v>
      </c>
      <c r="BI157" s="185"/>
      <c r="BJ157" s="182">
        <f t="shared" si="395"/>
        <v>4</v>
      </c>
      <c r="BK157" s="164" t="str">
        <f t="shared" si="388"/>
        <v>Excellent</v>
      </c>
      <c r="BL157" s="830"/>
      <c r="BO157" s="167"/>
      <c r="BP157" s="167"/>
      <c r="BQ157" s="167" t="str">
        <f t="shared" si="342"/>
        <v/>
      </c>
      <c r="BR157" s="167">
        <f t="shared" si="198"/>
        <v>9</v>
      </c>
      <c r="BS157" s="167">
        <f t="shared" si="199"/>
        <v>9</v>
      </c>
      <c r="BT157" s="167">
        <f t="shared" si="200"/>
        <v>9</v>
      </c>
      <c r="BW157" s="164"/>
      <c r="BX157" s="164"/>
      <c r="BY157" s="164"/>
      <c r="BZ157" s="164"/>
      <c r="CA157" s="164"/>
      <c r="CB157" s="164"/>
    </row>
    <row r="158" spans="1:81" x14ac:dyDescent="0.25">
      <c r="A158" s="96">
        <v>150</v>
      </c>
      <c r="B158" s="96" t="str">
        <f t="shared" si="389"/>
        <v>Wst 01c</v>
      </c>
      <c r="C158" s="96" t="str">
        <f t="shared" si="344"/>
        <v>Wst 01</v>
      </c>
      <c r="D158" s="163" t="s">
        <v>698</v>
      </c>
      <c r="E158" s="1124" t="s">
        <v>668</v>
      </c>
      <c r="F158" s="949">
        <v>2</v>
      </c>
      <c r="G158" s="949">
        <v>2</v>
      </c>
      <c r="H158" s="949">
        <v>2</v>
      </c>
      <c r="I158" s="949">
        <v>2</v>
      </c>
      <c r="J158" s="949">
        <v>2</v>
      </c>
      <c r="K158" s="949">
        <v>2</v>
      </c>
      <c r="L158" s="949">
        <v>2</v>
      </c>
      <c r="M158" s="949">
        <v>2</v>
      </c>
      <c r="N158" s="949">
        <v>2</v>
      </c>
      <c r="O158" s="949">
        <v>2</v>
      </c>
      <c r="P158" s="949">
        <v>2</v>
      </c>
      <c r="Q158" s="949">
        <v>2</v>
      </c>
      <c r="R158" s="949">
        <v>2</v>
      </c>
      <c r="S158" s="367"/>
      <c r="T158" s="221">
        <f>HLOOKUP($E$6,$F$9:$R$231,$A158,FALSE)</f>
        <v>2</v>
      </c>
      <c r="U158" s="166"/>
      <c r="V158" s="167"/>
      <c r="W158" s="167"/>
      <c r="X158" s="167"/>
      <c r="Y158" s="168"/>
      <c r="Z158" s="168">
        <f>VLOOKUP(B158,'Manuell filtrering og justering'!$A$7:$H$253,'Manuell filtrering og justering'!$H$1,FALSE)</f>
        <v>2</v>
      </c>
      <c r="AA158" s="169">
        <f>IF(SUM(U158:Y158)&gt;T158,T158,SUM(U158:Y158))</f>
        <v>0</v>
      </c>
      <c r="AB158" s="170">
        <f>IF($AC$5='Manuell filtrering og justering'!$J$2,Z158,(T158-AA158))</f>
        <v>2</v>
      </c>
      <c r="AD158" s="171">
        <f t="shared" si="380"/>
        <v>0.02</v>
      </c>
      <c r="AE158" s="171">
        <f t="shared" si="390"/>
        <v>0</v>
      </c>
      <c r="AF158" s="171">
        <f t="shared" si="391"/>
        <v>0</v>
      </c>
      <c r="AG158" s="171">
        <f t="shared" si="392"/>
        <v>0</v>
      </c>
      <c r="AI158" s="172">
        <f>IF(VLOOKUP(E158,'Pre-Assessment Estimator'!$E$11:$Z$225,'Pre-Assessment Estimator'!$G$2,FALSE)&gt;AB158,AB158,VLOOKUP(E158,'Pre-Assessment Estimator'!$E$11:$Z$225,'Pre-Assessment Estimator'!$G$2,FALSE))</f>
        <v>0</v>
      </c>
      <c r="AJ158" s="172">
        <f>IF(VLOOKUP(E158,'Pre-Assessment Estimator'!$E$11:$Z$225,'Pre-Assessment Estimator'!$N$2,FALSE)&gt;AB158,AB158,VLOOKUP(E158,'Pre-Assessment Estimator'!$E$11:$Z$225,'Pre-Assessment Estimator'!$N$2,FALSE))</f>
        <v>0</v>
      </c>
      <c r="AK158" s="172">
        <f>IF(VLOOKUP(E158,'Pre-Assessment Estimator'!$E$11:$Z$225,'Pre-Assessment Estimator'!$U$2,FALSE)&gt;AB158,AB158,VLOOKUP(E158,'Pre-Assessment Estimator'!$E$11:$Z$225,'Pre-Assessment Estimator'!$U$2,FALSE))</f>
        <v>0</v>
      </c>
      <c r="AM158" s="835"/>
      <c r="AN158" s="836"/>
      <c r="AO158" s="836"/>
      <c r="AP158" s="836">
        <v>2</v>
      </c>
      <c r="AQ158" s="837">
        <v>2</v>
      </c>
      <c r="AR158" s="139"/>
      <c r="AS158" s="835"/>
      <c r="AT158" s="836"/>
      <c r="AU158" s="836"/>
      <c r="AV158" s="836">
        <v>2</v>
      </c>
      <c r="AW158" s="837">
        <v>2</v>
      </c>
      <c r="AY158" s="828"/>
      <c r="AZ158" s="829"/>
      <c r="BA158" s="829"/>
      <c r="BB158" s="183">
        <f>IF($AB158=0,0,IF($E$6=$H$9,AV158,AP158))</f>
        <v>2</v>
      </c>
      <c r="BC158" s="183">
        <f>IF($AB158=0,0,IF($E$6=$H$9,AW158,AQ158))</f>
        <v>2</v>
      </c>
      <c r="BD158" s="1155">
        <f>IF(AI158&gt;=BC158,5,IF(AI158&gt;=BB158,4,BF251))</f>
        <v>0</v>
      </c>
      <c r="BE158" s="709" t="str">
        <f t="shared" si="386"/>
        <v>Unclassified</v>
      </c>
      <c r="BF158" s="185"/>
      <c r="BG158" s="1155">
        <f>IF(AJ158&gt;=BC158,5,IF(AJ158&gt;=BB158,4,BI251))</f>
        <v>0</v>
      </c>
      <c r="BH158" s="164" t="str">
        <f t="shared" si="387"/>
        <v>Unclassified</v>
      </c>
      <c r="BI158" s="185"/>
      <c r="BJ158" s="1155">
        <f>IF(AK158&gt;=BC158,5,IF(AK158&gt;=BB158,4,BL251))</f>
        <v>0</v>
      </c>
      <c r="BK158" s="164" t="str">
        <f t="shared" si="388"/>
        <v>Unclassified</v>
      </c>
      <c r="BL158" s="830"/>
      <c r="BO158" s="167"/>
      <c r="BP158" s="1183">
        <f>2*0</f>
        <v>0</v>
      </c>
      <c r="BQ158" s="167">
        <f t="shared" si="342"/>
        <v>0</v>
      </c>
      <c r="BR158" s="167">
        <f t="shared" si="198"/>
        <v>5</v>
      </c>
      <c r="BS158" s="167">
        <f t="shared" si="199"/>
        <v>5</v>
      </c>
      <c r="BT158" s="167">
        <f t="shared" si="200"/>
        <v>5</v>
      </c>
      <c r="BW158" s="164"/>
      <c r="BX158" s="164"/>
      <c r="BY158" s="164"/>
      <c r="BZ158" s="164"/>
      <c r="CA158" s="164"/>
      <c r="CB158" s="164"/>
    </row>
    <row r="159" spans="1:81" x14ac:dyDescent="0.25">
      <c r="A159" s="96">
        <v>151</v>
      </c>
      <c r="D159" s="701" t="s">
        <v>179</v>
      </c>
      <c r="E159" s="702"/>
      <c r="F159" s="938"/>
      <c r="G159" s="938"/>
      <c r="H159" s="938"/>
      <c r="I159" s="938"/>
      <c r="J159" s="938"/>
      <c r="K159" s="938"/>
      <c r="L159" s="938"/>
      <c r="M159" s="938"/>
      <c r="N159" s="938"/>
      <c r="O159" s="938"/>
      <c r="P159" s="938"/>
      <c r="Q159" s="938"/>
      <c r="R159" s="938"/>
      <c r="T159" s="956"/>
      <c r="U159" s="701"/>
      <c r="V159" s="700"/>
      <c r="W159" s="700"/>
      <c r="X159" s="700"/>
      <c r="Y159" s="190"/>
      <c r="Z159" s="168"/>
      <c r="AA159" s="956"/>
      <c r="AB159" s="957"/>
      <c r="AD159" s="171">
        <f t="shared" si="380"/>
        <v>0</v>
      </c>
      <c r="AE159" s="960"/>
      <c r="AF159" s="960"/>
      <c r="AG159" s="960"/>
      <c r="AI159" s="720"/>
      <c r="AJ159" s="720"/>
      <c r="AK159" s="720"/>
      <c r="AM159" s="291"/>
      <c r="AN159" s="181"/>
      <c r="AO159" s="181"/>
      <c r="AP159" s="181"/>
      <c r="AQ159" s="186"/>
      <c r="AR159" s="139"/>
      <c r="AS159" s="291"/>
      <c r="AT159" s="181"/>
      <c r="AU159" s="181"/>
      <c r="AV159" s="181"/>
      <c r="AW159" s="186"/>
      <c r="AY159" s="182"/>
      <c r="AZ159" s="183"/>
      <c r="BA159" s="183"/>
      <c r="BB159" s="183"/>
      <c r="BC159" s="187"/>
      <c r="BD159" s="182">
        <f t="shared" si="60"/>
        <v>9</v>
      </c>
      <c r="BE159" s="164" t="str">
        <f t="shared" si="386"/>
        <v>N/A</v>
      </c>
      <c r="BF159" s="185"/>
      <c r="BG159" s="182">
        <f>IF(BC159=0,9,IF(AJ159&gt;=BC159,5,IF(AJ159&gt;=BB159,4,IF(AJ159&gt;=BA159,3,IF(AJ159&gt;=AZ159,2,IF(AJ159&lt;AY159,0,1))))))</f>
        <v>9</v>
      </c>
      <c r="BH159" s="164" t="str">
        <f t="shared" si="387"/>
        <v>N/A</v>
      </c>
      <c r="BI159" s="185"/>
      <c r="BJ159" s="182">
        <f t="shared" si="28"/>
        <v>9</v>
      </c>
      <c r="BK159" s="164" t="str">
        <f t="shared" si="388"/>
        <v>N/A</v>
      </c>
      <c r="BL159" s="185"/>
      <c r="BO159" s="167"/>
      <c r="BP159" s="167"/>
      <c r="BQ159" s="167" t="str">
        <f t="shared" si="342"/>
        <v/>
      </c>
      <c r="BR159" s="167">
        <f t="shared" ref="BR159:BR222" si="396">IF(BQ159="",9,(IF(AI159&gt;=BQ159,5,0)))</f>
        <v>9</v>
      </c>
      <c r="BS159" s="167">
        <f t="shared" ref="BS159:BS222" si="397">IF(BQ159="",9,(IF(AJ159&gt;=BQ159,5,0)))</f>
        <v>9</v>
      </c>
      <c r="BT159" s="167">
        <f t="shared" ref="BT159:BT222" si="398">IF(BQ159="",9,(IF(AK159&gt;=BQ159,5,0)))</f>
        <v>9</v>
      </c>
      <c r="BW159" s="287" t="str">
        <f>D159</f>
        <v>Wst 02</v>
      </c>
      <c r="BX159" s="287" t="str">
        <f>IFERROR(VLOOKUP($E159,'Pre-Assessment Estimator'!$E$11:$AB$225,'Pre-Assessment Estimator'!AB$2,FALSE),"")</f>
        <v/>
      </c>
      <c r="BY159" s="287" t="str">
        <f>IFERROR(VLOOKUP($E159,'Pre-Assessment Estimator'!$E$11:$AI$225,'Pre-Assessment Estimator'!AI$2,FALSE),"")</f>
        <v/>
      </c>
      <c r="BZ159" s="287" t="str">
        <f>IFERROR(VLOOKUP($BX159,$E$292:$H$325,F$290,FALSE),"")</f>
        <v/>
      </c>
      <c r="CA159" s="287" t="str">
        <f>IFERROR(VLOOKUP($BX159,$E$292:$H$325,G$290,FALSE),"")</f>
        <v/>
      </c>
      <c r="CB159" s="287"/>
      <c r="CC159" s="96" t="s">
        <v>431</v>
      </c>
    </row>
    <row r="160" spans="1:81" x14ac:dyDescent="0.25">
      <c r="A160" s="96">
        <v>152</v>
      </c>
      <c r="B160" s="137" t="str">
        <f>D160</f>
        <v>Wst 03a</v>
      </c>
      <c r="C160" s="137" t="str">
        <f>B160</f>
        <v>Wst 03a</v>
      </c>
      <c r="D160" s="834" t="s">
        <v>374</v>
      </c>
      <c r="E160" s="832" t="s">
        <v>796</v>
      </c>
      <c r="F160" s="933">
        <f>SUM(F161)</f>
        <v>1</v>
      </c>
      <c r="G160" s="933">
        <f t="shared" ref="G160:R160" si="399">SUM(G161)</f>
        <v>1</v>
      </c>
      <c r="H160" s="933">
        <f t="shared" si="399"/>
        <v>0</v>
      </c>
      <c r="I160" s="933">
        <f t="shared" si="399"/>
        <v>1</v>
      </c>
      <c r="J160" s="933">
        <f t="shared" si="399"/>
        <v>1</v>
      </c>
      <c r="K160" s="933">
        <f t="shared" si="399"/>
        <v>1</v>
      </c>
      <c r="L160" s="933">
        <f t="shared" si="399"/>
        <v>1</v>
      </c>
      <c r="M160" s="933">
        <f t="shared" si="399"/>
        <v>1</v>
      </c>
      <c r="N160" s="933">
        <f t="shared" si="399"/>
        <v>1</v>
      </c>
      <c r="O160" s="933">
        <f t="shared" si="399"/>
        <v>1</v>
      </c>
      <c r="P160" s="933">
        <f t="shared" si="399"/>
        <v>1</v>
      </c>
      <c r="Q160" s="933">
        <f t="shared" si="399"/>
        <v>1</v>
      </c>
      <c r="R160" s="933">
        <f t="shared" si="399"/>
        <v>1</v>
      </c>
      <c r="T160" s="963">
        <f t="shared" ref="T160:T166" si="400">HLOOKUP($E$6,$F$9:$R$231,$A160,FALSE)</f>
        <v>1</v>
      </c>
      <c r="U160" s="222"/>
      <c r="V160" s="230"/>
      <c r="W160" s="230"/>
      <c r="X160" s="230">
        <f>'Manuell filtrering og justering'!E70</f>
        <v>0</v>
      </c>
      <c r="Y160" s="230"/>
      <c r="Z160" s="933">
        <f t="shared" ref="Z160" si="401">SUM(Z161)</f>
        <v>1</v>
      </c>
      <c r="AA160" s="169">
        <f t="shared" ref="AA160:AA165" si="402">IF(SUM(U160:Y160)&gt;T160,T160,SUM(U160:Y160))</f>
        <v>0</v>
      </c>
      <c r="AB160" s="1067">
        <f>SUM(AB161)</f>
        <v>1</v>
      </c>
      <c r="AD160" s="171">
        <f t="shared" si="380"/>
        <v>0.01</v>
      </c>
      <c r="AE160" s="921">
        <f>SUM(AE161)</f>
        <v>0</v>
      </c>
      <c r="AF160" s="921">
        <f t="shared" ref="AF160:AG160" si="403">SUM(AF161)</f>
        <v>0</v>
      </c>
      <c r="AG160" s="921">
        <f t="shared" si="403"/>
        <v>0</v>
      </c>
      <c r="AI160" s="933">
        <f t="shared" ref="AI160" si="404">SUM(AI161)</f>
        <v>0</v>
      </c>
      <c r="AJ160" s="933">
        <f t="shared" ref="AJ160" si="405">SUM(AJ161)</f>
        <v>0</v>
      </c>
      <c r="AK160" s="933">
        <f t="shared" ref="AK160" si="406">SUM(AK161)</f>
        <v>0</v>
      </c>
      <c r="AM160" s="292"/>
      <c r="AN160" s="293"/>
      <c r="AO160" s="293"/>
      <c r="AP160" s="293"/>
      <c r="AQ160" s="294"/>
      <c r="AR160" s="139"/>
      <c r="AS160" s="292"/>
      <c r="AT160" s="293"/>
      <c r="AU160" s="293"/>
      <c r="AV160" s="293"/>
      <c r="AW160" s="294"/>
      <c r="AY160" s="188"/>
      <c r="AZ160" s="189"/>
      <c r="BA160" s="189"/>
      <c r="BB160" s="189"/>
      <c r="BC160" s="190"/>
      <c r="BD160" s="182">
        <f t="shared" si="60"/>
        <v>9</v>
      </c>
      <c r="BE160" s="164" t="str">
        <f t="shared" si="386"/>
        <v>N/A</v>
      </c>
      <c r="BF160" s="185"/>
      <c r="BG160" s="182">
        <f t="shared" ref="BG160:BG162" si="407">IF(BC160=0,9,IF(AJ160&gt;=BC160,5,IF(AJ160&gt;=BB160,4,IF(AJ160&gt;=BA160,3,IF(AJ160&gt;=AZ160,2,IF(AJ160&lt;AY160,0,1))))))</f>
        <v>9</v>
      </c>
      <c r="BH160" s="164" t="str">
        <f t="shared" si="387"/>
        <v>N/A</v>
      </c>
      <c r="BI160" s="185"/>
      <c r="BJ160" s="182">
        <f t="shared" si="28"/>
        <v>9</v>
      </c>
      <c r="BK160" s="164" t="str">
        <f t="shared" si="388"/>
        <v>N/A</v>
      </c>
      <c r="BL160" s="185"/>
      <c r="BO160" s="167"/>
      <c r="BP160" s="167"/>
      <c r="BQ160" s="167" t="str">
        <f t="shared" si="342"/>
        <v/>
      </c>
      <c r="BR160" s="167">
        <f t="shared" si="396"/>
        <v>9</v>
      </c>
      <c r="BS160" s="167">
        <f t="shared" si="397"/>
        <v>9</v>
      </c>
      <c r="BT160" s="167">
        <f t="shared" si="398"/>
        <v>9</v>
      </c>
      <c r="BW160" s="167" t="str">
        <f>D160</f>
        <v>Wst 03a</v>
      </c>
      <c r="BX160" s="167" t="str">
        <f>IFERROR(VLOOKUP($E160,'Pre-Assessment Estimator'!$E$11:$AB$225,'Pre-Assessment Estimator'!AB$2,FALSE),"")</f>
        <v>No</v>
      </c>
      <c r="BY160" s="167">
        <f>IFERROR(VLOOKUP($E160,'Pre-Assessment Estimator'!$E$11:$AI$225,'Pre-Assessment Estimator'!AI$2,FALSE),"")</f>
        <v>0</v>
      </c>
      <c r="BZ160" s="167">
        <f>IFERROR(VLOOKUP($BX160,$E$292:$H$325,F$290,FALSE),"")</f>
        <v>1</v>
      </c>
      <c r="CA160" s="167">
        <f>IFERROR(VLOOKUP($BX160,$E$292:$H$325,G$290,FALSE),"")</f>
        <v>0</v>
      </c>
      <c r="CB160" s="167"/>
      <c r="CC160" s="96" t="str">
        <f>IFERROR(VLOOKUP($BX160,$E$292:$H$325,I$290,FALSE),"")</f>
        <v/>
      </c>
    </row>
    <row r="161" spans="1:81" x14ac:dyDescent="0.25">
      <c r="A161" s="96">
        <v>153</v>
      </c>
      <c r="B161" s="96" t="str">
        <f t="shared" ref="B161" si="408">$D$160&amp;D161</f>
        <v>Wst 03aa</v>
      </c>
      <c r="C161" s="96" t="str">
        <f t="shared" si="344"/>
        <v>Wst 03a</v>
      </c>
      <c r="D161" s="166" t="s">
        <v>694</v>
      </c>
      <c r="E161" s="1108" t="s">
        <v>375</v>
      </c>
      <c r="F161" s="775">
        <v>1</v>
      </c>
      <c r="G161" s="775">
        <v>1</v>
      </c>
      <c r="H161" s="1022">
        <v>0</v>
      </c>
      <c r="I161" s="775">
        <v>1</v>
      </c>
      <c r="J161" s="775">
        <v>1</v>
      </c>
      <c r="K161" s="775">
        <v>1</v>
      </c>
      <c r="L161" s="775">
        <v>1</v>
      </c>
      <c r="M161" s="775">
        <v>1</v>
      </c>
      <c r="N161" s="775">
        <v>1</v>
      </c>
      <c r="O161" s="775">
        <v>1</v>
      </c>
      <c r="P161" s="775">
        <v>1</v>
      </c>
      <c r="Q161" s="775">
        <v>1</v>
      </c>
      <c r="R161" s="775">
        <v>1</v>
      </c>
      <c r="T161" s="221">
        <f t="shared" si="400"/>
        <v>1</v>
      </c>
      <c r="U161" s="166"/>
      <c r="V161" s="167"/>
      <c r="W161" s="167"/>
      <c r="X161" s="167"/>
      <c r="Y161" s="168"/>
      <c r="Z161" s="168">
        <f>VLOOKUP(B161,'Manuell filtrering og justering'!$A$7:$H$253,'Manuell filtrering og justering'!$H$1,FALSE)</f>
        <v>1</v>
      </c>
      <c r="AA161" s="169">
        <f t="shared" si="402"/>
        <v>0</v>
      </c>
      <c r="AB161" s="170">
        <f>IF($AC$5='Manuell filtrering og justering'!$J$2,Z161,(T161-AA161))</f>
        <v>1</v>
      </c>
      <c r="AD161" s="171">
        <f t="shared" si="380"/>
        <v>0.01</v>
      </c>
      <c r="AE161" s="171">
        <f t="shared" si="390"/>
        <v>0</v>
      </c>
      <c r="AF161" s="171">
        <f t="shared" si="391"/>
        <v>0</v>
      </c>
      <c r="AG161" s="171">
        <f t="shared" si="392"/>
        <v>0</v>
      </c>
      <c r="AI161" s="172">
        <f>IF(VLOOKUP(E161,'Pre-Assessment Estimator'!$E$11:$Z$225,'Pre-Assessment Estimator'!$G$2,FALSE)&gt;AB161,AB161,VLOOKUP(E161,'Pre-Assessment Estimator'!$E$11:$Z$225,'Pre-Assessment Estimator'!$G$2,FALSE))</f>
        <v>0</v>
      </c>
      <c r="AJ161" s="172">
        <f>IF(VLOOKUP(E161,'Pre-Assessment Estimator'!$E$11:$Z$225,'Pre-Assessment Estimator'!$N$2,FALSE)&gt;AB161,AB161,VLOOKUP(E161,'Pre-Assessment Estimator'!$E$11:$Z$225,'Pre-Assessment Estimator'!$N$2,FALSE))</f>
        <v>0</v>
      </c>
      <c r="AK161" s="172">
        <f>IF(VLOOKUP(E161,'Pre-Assessment Estimator'!$E$11:$Z$225,'Pre-Assessment Estimator'!$U$2,FALSE)&gt;AB161,AB161,VLOOKUP(E161,'Pre-Assessment Estimator'!$E$11:$Z$225,'Pre-Assessment Estimator'!$U$2,FALSE))</f>
        <v>0</v>
      </c>
      <c r="AM161" s="850"/>
      <c r="AN161" s="851"/>
      <c r="AO161" s="851"/>
      <c r="AP161" s="851">
        <v>1</v>
      </c>
      <c r="AQ161" s="843">
        <v>1</v>
      </c>
      <c r="AR161" s="139"/>
      <c r="AS161" s="850"/>
      <c r="AT161" s="851"/>
      <c r="AU161" s="851"/>
      <c r="AV161" s="851"/>
      <c r="AW161" s="843"/>
      <c r="AY161" s="731"/>
      <c r="AZ161" s="733"/>
      <c r="BA161" s="733"/>
      <c r="BB161" s="183">
        <f>IF($AB161=0,0,IF($E$6=$H$9,AV161,AP161))</f>
        <v>1</v>
      </c>
      <c r="BC161" s="183">
        <f>IF($AB161=0,0,IF($E$6=$H$9,AW161,AQ161))</f>
        <v>1</v>
      </c>
      <c r="BD161" s="182">
        <f t="shared" si="60"/>
        <v>3</v>
      </c>
      <c r="BE161" s="164" t="str">
        <f t="shared" si="386"/>
        <v>Very Good</v>
      </c>
      <c r="BF161" s="185"/>
      <c r="BG161" s="182">
        <f>IF(BC161=0,9,IF(AJ161&gt;=BC161,5,IF(AJ161&gt;=BB161,4,IF(AJ161&gt;=BA161,3,IF(AJ161&gt;=AZ161,2,IF(AJ161&lt;AY161,0,1))))))</f>
        <v>3</v>
      </c>
      <c r="BH161" s="164" t="str">
        <f t="shared" si="387"/>
        <v>Very Good</v>
      </c>
      <c r="BI161" s="185"/>
      <c r="BJ161" s="182">
        <f t="shared" si="28"/>
        <v>3</v>
      </c>
      <c r="BK161" s="164" t="str">
        <f t="shared" si="388"/>
        <v>Very Good</v>
      </c>
      <c r="BL161" s="847"/>
      <c r="BO161" s="167"/>
      <c r="BP161" s="167"/>
      <c r="BQ161" s="167" t="str">
        <f t="shared" si="342"/>
        <v/>
      </c>
      <c r="BR161" s="167">
        <f t="shared" si="396"/>
        <v>9</v>
      </c>
      <c r="BS161" s="167">
        <f t="shared" si="397"/>
        <v>9</v>
      </c>
      <c r="BT161" s="167">
        <f t="shared" si="398"/>
        <v>9</v>
      </c>
      <c r="BW161" s="167"/>
      <c r="BX161" s="167"/>
      <c r="BY161" s="167"/>
      <c r="BZ161" s="167"/>
      <c r="CA161" s="167"/>
      <c r="CB161" s="167"/>
    </row>
    <row r="162" spans="1:81" x14ac:dyDescent="0.25">
      <c r="A162" s="96">
        <v>154</v>
      </c>
      <c r="B162" s="137" t="str">
        <f>D162</f>
        <v>Wst 03b</v>
      </c>
      <c r="C162" s="137" t="str">
        <f>B162</f>
        <v>Wst 03b</v>
      </c>
      <c r="D162" s="834" t="s">
        <v>376</v>
      </c>
      <c r="E162" s="832" t="s">
        <v>797</v>
      </c>
      <c r="F162" s="933">
        <f>F163</f>
        <v>0</v>
      </c>
      <c r="G162" s="933">
        <f t="shared" ref="G162:R162" si="409">G163</f>
        <v>0</v>
      </c>
      <c r="H162" s="933">
        <f t="shared" si="409"/>
        <v>1</v>
      </c>
      <c r="I162" s="933">
        <f t="shared" si="409"/>
        <v>0</v>
      </c>
      <c r="J162" s="933">
        <f t="shared" si="409"/>
        <v>0</v>
      </c>
      <c r="K162" s="933">
        <f t="shared" si="409"/>
        <v>0</v>
      </c>
      <c r="L162" s="933">
        <f t="shared" si="409"/>
        <v>0</v>
      </c>
      <c r="M162" s="933">
        <f t="shared" si="409"/>
        <v>0</v>
      </c>
      <c r="N162" s="933">
        <f t="shared" si="409"/>
        <v>0</v>
      </c>
      <c r="O162" s="933">
        <f t="shared" si="409"/>
        <v>0</v>
      </c>
      <c r="P162" s="933">
        <f t="shared" si="409"/>
        <v>0</v>
      </c>
      <c r="Q162" s="933">
        <f t="shared" si="409"/>
        <v>0</v>
      </c>
      <c r="R162" s="933">
        <f t="shared" si="409"/>
        <v>0</v>
      </c>
      <c r="T162" s="963">
        <f t="shared" si="400"/>
        <v>0</v>
      </c>
      <c r="U162" s="222"/>
      <c r="V162" s="230"/>
      <c r="W162" s="230"/>
      <c r="X162" s="230"/>
      <c r="Y162" s="230"/>
      <c r="Z162" s="933">
        <f t="shared" ref="Z162" si="410">Z163</f>
        <v>0</v>
      </c>
      <c r="AA162" s="963">
        <f t="shared" si="402"/>
        <v>0</v>
      </c>
      <c r="AB162" s="1067">
        <f>SUM(AB163)</f>
        <v>0</v>
      </c>
      <c r="AD162" s="171">
        <f t="shared" si="380"/>
        <v>0</v>
      </c>
      <c r="AE162" s="921">
        <f>SUM(AE163)</f>
        <v>0</v>
      </c>
      <c r="AF162" s="921">
        <f t="shared" ref="AF162:AG162" si="411">SUM(AF163)</f>
        <v>0</v>
      </c>
      <c r="AG162" s="921">
        <f t="shared" si="411"/>
        <v>0</v>
      </c>
      <c r="AI162" s="933">
        <f t="shared" ref="AI162" si="412">AI163</f>
        <v>0</v>
      </c>
      <c r="AJ162" s="933">
        <f t="shared" ref="AJ162" si="413">AJ163</f>
        <v>0</v>
      </c>
      <c r="AK162" s="933">
        <f t="shared" ref="AK162" si="414">AK163</f>
        <v>0</v>
      </c>
      <c r="AM162" s="850"/>
      <c r="AN162" s="851"/>
      <c r="AO162" s="851"/>
      <c r="AP162" s="851"/>
      <c r="AQ162" s="843"/>
      <c r="AR162" s="139"/>
      <c r="AS162" s="850"/>
      <c r="AT162" s="851"/>
      <c r="AU162" s="851"/>
      <c r="AV162" s="851"/>
      <c r="AW162" s="843"/>
      <c r="AY162" s="731"/>
      <c r="AZ162" s="733"/>
      <c r="BA162" s="733"/>
      <c r="BB162" s="733"/>
      <c r="BC162" s="852"/>
      <c r="BD162" s="182">
        <f t="shared" si="60"/>
        <v>9</v>
      </c>
      <c r="BE162" s="164" t="str">
        <f t="shared" si="386"/>
        <v>N/A</v>
      </c>
      <c r="BF162" s="185"/>
      <c r="BG162" s="182">
        <f t="shared" si="407"/>
        <v>9</v>
      </c>
      <c r="BH162" s="164" t="str">
        <f t="shared" si="387"/>
        <v>N/A</v>
      </c>
      <c r="BI162" s="185"/>
      <c r="BJ162" s="182">
        <f t="shared" si="28"/>
        <v>9</v>
      </c>
      <c r="BK162" s="164" t="str">
        <f t="shared" si="388"/>
        <v>N/A</v>
      </c>
      <c r="BL162" s="847"/>
      <c r="BO162" s="167"/>
      <c r="BP162" s="167"/>
      <c r="BQ162" s="167" t="str">
        <f t="shared" si="342"/>
        <v/>
      </c>
      <c r="BR162" s="167">
        <f t="shared" si="396"/>
        <v>9</v>
      </c>
      <c r="BS162" s="167">
        <f t="shared" si="397"/>
        <v>9</v>
      </c>
      <c r="BT162" s="167">
        <f t="shared" si="398"/>
        <v>9</v>
      </c>
      <c r="BW162" s="167"/>
      <c r="BX162" s="167"/>
      <c r="BY162" s="167"/>
      <c r="BZ162" s="167"/>
      <c r="CA162" s="167"/>
      <c r="CB162" s="167"/>
    </row>
    <row r="163" spans="1:81" x14ac:dyDescent="0.25">
      <c r="A163" s="96">
        <v>155</v>
      </c>
      <c r="B163" s="96" t="str">
        <f t="shared" ref="B163" si="415">$D$162&amp;D163</f>
        <v>Wst 03ba</v>
      </c>
      <c r="C163" s="96" t="str">
        <f t="shared" si="344"/>
        <v>Wst 03b</v>
      </c>
      <c r="D163" s="166" t="s">
        <v>694</v>
      </c>
      <c r="E163" s="1108" t="s">
        <v>669</v>
      </c>
      <c r="F163" s="775">
        <v>0</v>
      </c>
      <c r="G163" s="775">
        <v>0</v>
      </c>
      <c r="H163" s="1022">
        <v>1</v>
      </c>
      <c r="I163" s="775">
        <v>0</v>
      </c>
      <c r="J163" s="775">
        <v>0</v>
      </c>
      <c r="K163" s="775">
        <v>0</v>
      </c>
      <c r="L163" s="775">
        <v>0</v>
      </c>
      <c r="M163" s="775">
        <v>0</v>
      </c>
      <c r="N163" s="775">
        <v>0</v>
      </c>
      <c r="O163" s="775">
        <v>0</v>
      </c>
      <c r="P163" s="775">
        <v>0</v>
      </c>
      <c r="Q163" s="775">
        <v>0</v>
      </c>
      <c r="R163" s="775">
        <v>0</v>
      </c>
      <c r="T163" s="221">
        <f t="shared" si="400"/>
        <v>0</v>
      </c>
      <c r="U163" s="166"/>
      <c r="V163" s="167"/>
      <c r="W163" s="167"/>
      <c r="X163" s="167"/>
      <c r="Y163" s="168"/>
      <c r="Z163" s="168">
        <f>VLOOKUP(B163,'Manuell filtrering og justering'!$A$7:$H$253,'Manuell filtrering og justering'!$H$1,FALSE)</f>
        <v>0</v>
      </c>
      <c r="AA163" s="169">
        <f t="shared" si="402"/>
        <v>0</v>
      </c>
      <c r="AB163" s="170">
        <f>IF($AC$5='Manuell filtrering og justering'!$J$2,Z163,(T163-AA163))</f>
        <v>0</v>
      </c>
      <c r="AD163" s="171">
        <f t="shared" si="380"/>
        <v>0</v>
      </c>
      <c r="AE163" s="171">
        <f t="shared" si="390"/>
        <v>0</v>
      </c>
      <c r="AF163" s="171">
        <f t="shared" si="391"/>
        <v>0</v>
      </c>
      <c r="AG163" s="171">
        <f t="shared" si="392"/>
        <v>0</v>
      </c>
      <c r="AI163" s="172">
        <f>IF(VLOOKUP(E163,'Pre-Assessment Estimator'!$E$11:$Z$225,'Pre-Assessment Estimator'!$G$2,FALSE)&gt;AB163,AB163,VLOOKUP(E163,'Pre-Assessment Estimator'!$E$11:$Z$225,'Pre-Assessment Estimator'!$G$2,FALSE))</f>
        <v>0</v>
      </c>
      <c r="AJ163" s="172">
        <f>IF(VLOOKUP(E163,'Pre-Assessment Estimator'!$E$11:$Z$225,'Pre-Assessment Estimator'!$N$2,FALSE)&gt;AB163,AB163,VLOOKUP(E163,'Pre-Assessment Estimator'!$E$11:$Z$225,'Pre-Assessment Estimator'!$N$2,FALSE))</f>
        <v>0</v>
      </c>
      <c r="AK163" s="172">
        <f>IF(VLOOKUP(E163,'Pre-Assessment Estimator'!$E$11:$Z$225,'Pre-Assessment Estimator'!$U$2,FALSE)&gt;AB163,AB163,VLOOKUP(E163,'Pre-Assessment Estimator'!$E$11:$Z$225,'Pre-Assessment Estimator'!$U$2,FALSE))</f>
        <v>0</v>
      </c>
      <c r="AM163" s="850"/>
      <c r="AN163" s="851"/>
      <c r="AO163" s="851"/>
      <c r="AP163" s="851"/>
      <c r="AQ163" s="843"/>
      <c r="AR163" s="139"/>
      <c r="AS163" s="850"/>
      <c r="AT163" s="851"/>
      <c r="AU163" s="851"/>
      <c r="AV163" s="851">
        <v>1</v>
      </c>
      <c r="AW163" s="843">
        <v>1</v>
      </c>
      <c r="AY163" s="731"/>
      <c r="AZ163" s="733"/>
      <c r="BA163" s="733"/>
      <c r="BB163" s="183">
        <f>IF($AB163=0,0,IF($E$6=$H$9,AV163,AP163))</f>
        <v>0</v>
      </c>
      <c r="BC163" s="183">
        <f>IF($AB163=0,0,IF($E$6=$H$9,AW163,AQ163))</f>
        <v>0</v>
      </c>
      <c r="BD163" s="182">
        <f t="shared" ref="BD163" si="416">IF(BC163=0,9,IF(AI163&gt;=BC163,5,IF(AI163&gt;=BB163,4,IF(AI163&gt;=BA163,3,IF(AI163&gt;=AZ163,2,IF(AI163&lt;AY163,0,1))))))</f>
        <v>9</v>
      </c>
      <c r="BE163" s="164" t="str">
        <f t="shared" si="386"/>
        <v>N/A</v>
      </c>
      <c r="BF163" s="185"/>
      <c r="BG163" s="182">
        <f>IF(BC163=0,9,IF(AJ163&gt;=BC163,5,IF(AJ163&gt;=BB163,4,IF(AJ163&gt;=BA163,3,IF(AJ163&gt;=AZ163,2,IF(AJ163&lt;AY163,0,1))))))</f>
        <v>9</v>
      </c>
      <c r="BH163" s="164" t="str">
        <f t="shared" si="387"/>
        <v>N/A</v>
      </c>
      <c r="BI163" s="185"/>
      <c r="BJ163" s="182">
        <f t="shared" ref="BJ163" si="417">IF(BC163=0,9,IF(AK163&gt;=BC163,5,IF(AK163&gt;=BB163,4,IF(AK163&gt;=BA163,3,IF(AK163&gt;=AZ163,2,IF(AK163&lt;AY163,0,1))))))</f>
        <v>9</v>
      </c>
      <c r="BK163" s="164" t="str">
        <f t="shared" si="388"/>
        <v>N/A</v>
      </c>
      <c r="BL163" s="847"/>
      <c r="BO163" s="167"/>
      <c r="BP163" s="167"/>
      <c r="BQ163" s="167" t="str">
        <f t="shared" si="342"/>
        <v/>
      </c>
      <c r="BR163" s="167">
        <f t="shared" si="396"/>
        <v>9</v>
      </c>
      <c r="BS163" s="167">
        <f t="shared" si="397"/>
        <v>9</v>
      </c>
      <c r="BT163" s="167">
        <f t="shared" si="398"/>
        <v>9</v>
      </c>
      <c r="BW163" s="167"/>
      <c r="BX163" s="167"/>
      <c r="BY163" s="167"/>
      <c r="BZ163" s="167"/>
      <c r="CA163" s="167"/>
      <c r="CB163" s="167"/>
    </row>
    <row r="164" spans="1:81" ht="15.75" thickBot="1" x14ac:dyDescent="0.3">
      <c r="A164" s="96">
        <v>156</v>
      </c>
      <c r="B164" s="137" t="str">
        <f>D164</f>
        <v>Wst 04</v>
      </c>
      <c r="C164" s="137" t="str">
        <f>B164</f>
        <v>Wst 04</v>
      </c>
      <c r="D164" s="834" t="s">
        <v>180</v>
      </c>
      <c r="E164" s="832" t="s">
        <v>960</v>
      </c>
      <c r="F164" s="933">
        <f>F165</f>
        <v>1</v>
      </c>
      <c r="G164" s="933">
        <f t="shared" ref="G164:R164" si="418">G165</f>
        <v>0</v>
      </c>
      <c r="H164" s="933">
        <f t="shared" si="418"/>
        <v>1</v>
      </c>
      <c r="I164" s="933">
        <f t="shared" si="418"/>
        <v>0</v>
      </c>
      <c r="J164" s="933">
        <f t="shared" si="418"/>
        <v>0</v>
      </c>
      <c r="K164" s="933">
        <f t="shared" si="418"/>
        <v>0</v>
      </c>
      <c r="L164" s="933">
        <f t="shared" si="418"/>
        <v>0</v>
      </c>
      <c r="M164" s="933">
        <f t="shared" si="418"/>
        <v>0</v>
      </c>
      <c r="N164" s="933">
        <f t="shared" si="418"/>
        <v>0</v>
      </c>
      <c r="O164" s="933">
        <f t="shared" si="418"/>
        <v>0</v>
      </c>
      <c r="P164" s="933">
        <f t="shared" si="418"/>
        <v>0</v>
      </c>
      <c r="Q164" s="933">
        <f t="shared" si="418"/>
        <v>0</v>
      </c>
      <c r="R164" s="933">
        <f t="shared" si="418"/>
        <v>0</v>
      </c>
      <c r="T164" s="963">
        <f t="shared" si="400"/>
        <v>1</v>
      </c>
      <c r="U164" s="222">
        <f>U165</f>
        <v>0</v>
      </c>
      <c r="V164" s="230"/>
      <c r="W164" s="230"/>
      <c r="X164" s="230">
        <f>'Manuell filtrering og justering'!E71</f>
        <v>0</v>
      </c>
      <c r="Y164" s="230"/>
      <c r="Z164" s="933">
        <f t="shared" ref="Z164" si="419">Z165</f>
        <v>0</v>
      </c>
      <c r="AA164" s="963">
        <f t="shared" si="402"/>
        <v>0</v>
      </c>
      <c r="AB164" s="1067">
        <f>SUM(AB165)</f>
        <v>1</v>
      </c>
      <c r="AD164" s="171">
        <f t="shared" si="380"/>
        <v>0.01</v>
      </c>
      <c r="AE164" s="921">
        <f>SUM(AE165)</f>
        <v>0</v>
      </c>
      <c r="AF164" s="921">
        <f t="shared" ref="AF164:AG164" si="420">SUM(AF165)</f>
        <v>0</v>
      </c>
      <c r="AG164" s="921">
        <f t="shared" si="420"/>
        <v>0</v>
      </c>
      <c r="AI164" s="933">
        <f t="shared" ref="AI164" si="421">AI165</f>
        <v>0</v>
      </c>
      <c r="AJ164" s="933">
        <f t="shared" ref="AJ164" si="422">AJ165</f>
        <v>0</v>
      </c>
      <c r="AK164" s="933">
        <f t="shared" ref="AK164" si="423">AK165</f>
        <v>0</v>
      </c>
      <c r="AM164" s="295"/>
      <c r="AN164" s="296"/>
      <c r="AO164" s="296"/>
      <c r="AP164" s="296"/>
      <c r="AQ164" s="297"/>
      <c r="AR164" s="139"/>
      <c r="AS164" s="295"/>
      <c r="AT164" s="296"/>
      <c r="AU164" s="296"/>
      <c r="AV164" s="296"/>
      <c r="AW164" s="297"/>
      <c r="AY164" s="194"/>
      <c r="AZ164" s="196"/>
      <c r="BA164" s="196"/>
      <c r="BB164" s="196"/>
      <c r="BC164" s="197"/>
      <c r="BD164" s="198">
        <f t="shared" si="60"/>
        <v>9</v>
      </c>
      <c r="BE164" s="164" t="str">
        <f t="shared" si="386"/>
        <v>N/A</v>
      </c>
      <c r="BF164" s="200"/>
      <c r="BG164" s="198">
        <f>IF(BC164=0,9,IF(AJ164&gt;=BC164,5,IF(AJ164&gt;=BB164,4,IF(AJ164&gt;=BA164,3,IF(AJ164&gt;=AZ164,2,IF(AJ164&lt;AY164,0,1))))))</f>
        <v>9</v>
      </c>
      <c r="BH164" s="164" t="str">
        <f t="shared" si="387"/>
        <v>N/A</v>
      </c>
      <c r="BI164" s="200"/>
      <c r="BJ164" s="198">
        <f t="shared" si="28"/>
        <v>9</v>
      </c>
      <c r="BK164" s="164" t="str">
        <f t="shared" si="388"/>
        <v>N/A</v>
      </c>
      <c r="BL164" s="200"/>
      <c r="BO164" s="167"/>
      <c r="BP164" s="167"/>
      <c r="BQ164" s="167" t="str">
        <f t="shared" si="342"/>
        <v/>
      </c>
      <c r="BR164" s="167">
        <f t="shared" si="396"/>
        <v>9</v>
      </c>
      <c r="BS164" s="167">
        <f t="shared" si="397"/>
        <v>9</v>
      </c>
      <c r="BT164" s="167">
        <f t="shared" si="398"/>
        <v>9</v>
      </c>
      <c r="BW164" s="167" t="str">
        <f>D164</f>
        <v>Wst 04</v>
      </c>
      <c r="BX164" s="167" t="str">
        <f>IFERROR(VLOOKUP($E164,'Pre-Assessment Estimator'!$E$11:$AB$225,'Pre-Assessment Estimator'!AB$2,FALSE),"")</f>
        <v>No</v>
      </c>
      <c r="BY164" s="167">
        <f>IFERROR(VLOOKUP($E164,'Pre-Assessment Estimator'!$E$11:$AI$225,'Pre-Assessment Estimator'!AI$2,FALSE),"")</f>
        <v>0</v>
      </c>
      <c r="BZ164" s="167">
        <f>IFERROR(VLOOKUP($BX164,$E$292:$H$325,F$290,FALSE),"")</f>
        <v>1</v>
      </c>
      <c r="CA164" s="167">
        <f>IFERROR(VLOOKUP($BX164,$E$292:$H$325,G$290,FALSE),"")</f>
        <v>0</v>
      </c>
      <c r="CB164" s="167"/>
      <c r="CC164" s="96" t="str">
        <f>IFERROR(VLOOKUP($BX164,$E$292:$H$325,I$290,FALSE),"")</f>
        <v/>
      </c>
    </row>
    <row r="165" spans="1:81" ht="15.75" thickBot="1" x14ac:dyDescent="0.3">
      <c r="A165" s="96">
        <v>157</v>
      </c>
      <c r="B165" s="96" t="str">
        <f>$D$164&amp;D165</f>
        <v>Wst 04a</v>
      </c>
      <c r="C165" s="96" t="str">
        <f t="shared" si="344"/>
        <v>Wst 04</v>
      </c>
      <c r="D165" s="231" t="s">
        <v>694</v>
      </c>
      <c r="E165" s="1108" t="s">
        <v>670</v>
      </c>
      <c r="F165" s="943">
        <v>1</v>
      </c>
      <c r="G165" s="1126">
        <v>0</v>
      </c>
      <c r="H165" s="943">
        <v>1</v>
      </c>
      <c r="I165" s="1126">
        <v>0</v>
      </c>
      <c r="J165" s="1126">
        <v>0</v>
      </c>
      <c r="K165" s="1126">
        <v>0</v>
      </c>
      <c r="L165" s="1126">
        <v>0</v>
      </c>
      <c r="M165" s="1126">
        <v>0</v>
      </c>
      <c r="N165" s="1126">
        <v>0</v>
      </c>
      <c r="O165" s="1126">
        <v>0</v>
      </c>
      <c r="P165" s="1126">
        <v>0</v>
      </c>
      <c r="Q165" s="1126">
        <v>0</v>
      </c>
      <c r="R165" s="1126">
        <v>0</v>
      </c>
      <c r="T165" s="221">
        <f t="shared" si="400"/>
        <v>1</v>
      </c>
      <c r="U165" s="192">
        <f>IF(AND(ADBT0=ADBT12,'Assessment Details'!F6&lt;&gt;'Assessment Details'!V8),Poeng!T165,0)</f>
        <v>0</v>
      </c>
      <c r="V165" s="193"/>
      <c r="W165" s="193"/>
      <c r="X165" s="193"/>
      <c r="Y165" s="169">
        <f>IF($Y$4=$Y$6,T165,0)</f>
        <v>0</v>
      </c>
      <c r="Z165" s="168">
        <f>VLOOKUP(B165,'Manuell filtrering og justering'!$A$7:$H$253,'Manuell filtrering og justering'!$H$1,FALSE)</f>
        <v>0</v>
      </c>
      <c r="AA165" s="169">
        <f t="shared" si="402"/>
        <v>0</v>
      </c>
      <c r="AB165" s="170">
        <f>IF($AC$5='Manuell filtrering og justering'!$J$2,Z165,(T165-AA165))</f>
        <v>1</v>
      </c>
      <c r="AD165" s="171">
        <f t="shared" si="380"/>
        <v>0.01</v>
      </c>
      <c r="AE165" s="171">
        <f t="shared" si="390"/>
        <v>0</v>
      </c>
      <c r="AF165" s="171">
        <f t="shared" si="391"/>
        <v>0</v>
      </c>
      <c r="AG165" s="171">
        <f t="shared" si="392"/>
        <v>0</v>
      </c>
      <c r="AI165" s="172">
        <f>IF(VLOOKUP(E165,'Pre-Assessment Estimator'!$E$11:$Z$225,'Pre-Assessment Estimator'!$G$2,FALSE)&gt;AB165,AB165,VLOOKUP(E165,'Pre-Assessment Estimator'!$E$11:$Z$225,'Pre-Assessment Estimator'!$G$2,FALSE))</f>
        <v>0</v>
      </c>
      <c r="AJ165" s="172">
        <f>IF(VLOOKUP(E165,'Pre-Assessment Estimator'!$E$11:$Z$225,'Pre-Assessment Estimator'!$N$2,FALSE)&gt;AB165,AB165,VLOOKUP(E165,'Pre-Assessment Estimator'!$E$11:$Z$225,'Pre-Assessment Estimator'!$N$2,FALSE))</f>
        <v>0</v>
      </c>
      <c r="AK165" s="172">
        <f>IF(VLOOKUP(E165,'Pre-Assessment Estimator'!$E$11:$Z$225,'Pre-Assessment Estimator'!$U$2,FALSE)&gt;AB165,AB165,VLOOKUP(E165,'Pre-Assessment Estimator'!$E$11:$Z$225,'Pre-Assessment Estimator'!$U$2,FALSE))</f>
        <v>0</v>
      </c>
      <c r="AM165" s="295"/>
      <c r="AN165" s="296"/>
      <c r="AO165" s="296"/>
      <c r="AP165" s="296"/>
      <c r="AQ165" s="297"/>
      <c r="AR165" s="139"/>
      <c r="AS165" s="295"/>
      <c r="AT165" s="296"/>
      <c r="AU165" s="296"/>
      <c r="AV165" s="296"/>
      <c r="AW165" s="297"/>
      <c r="AY165" s="194"/>
      <c r="AZ165" s="196"/>
      <c r="BA165" s="196"/>
      <c r="BB165" s="196"/>
      <c r="BC165" s="197"/>
      <c r="BD165" s="198">
        <f t="shared" ref="BD165" si="424">IF(BC165=0,9,IF(AI165&gt;=BC165,5,IF(AI165&gt;=BB165,4,IF(AI165&gt;=BA165,3,IF(AI165&gt;=AZ165,2,IF(AI165&lt;AY165,0,1))))))</f>
        <v>9</v>
      </c>
      <c r="BE165" s="164" t="str">
        <f t="shared" si="386"/>
        <v>N/A</v>
      </c>
      <c r="BF165" s="200"/>
      <c r="BG165" s="198">
        <f>IF(BC165=0,9,IF(AJ165&gt;=BC165,5,IF(AJ165&gt;=BB165,4,IF(AJ165&gt;=BA165,3,IF(AJ165&gt;=AZ165,2,IF(AJ165&lt;AY165,0,1))))))</f>
        <v>9</v>
      </c>
      <c r="BH165" s="164" t="str">
        <f t="shared" si="387"/>
        <v>N/A</v>
      </c>
      <c r="BI165" s="200"/>
      <c r="BJ165" s="198">
        <f t="shared" ref="BJ165" si="425">IF(BC165=0,9,IF(AK165&gt;=BC165,5,IF(AK165&gt;=BB165,4,IF(AK165&gt;=BA165,3,IF(AK165&gt;=AZ165,2,IF(AK165&lt;AY165,0,1))))))</f>
        <v>9</v>
      </c>
      <c r="BK165" s="164" t="str">
        <f t="shared" si="388"/>
        <v>N/A</v>
      </c>
      <c r="BL165" s="200"/>
      <c r="BO165" s="167"/>
      <c r="BP165" s="167"/>
      <c r="BQ165" s="167" t="str">
        <f t="shared" si="342"/>
        <v/>
      </c>
      <c r="BR165" s="167">
        <f t="shared" si="396"/>
        <v>9</v>
      </c>
      <c r="BS165" s="167">
        <f t="shared" si="397"/>
        <v>9</v>
      </c>
      <c r="BT165" s="167">
        <f t="shared" si="398"/>
        <v>9</v>
      </c>
      <c r="BW165" s="314"/>
      <c r="BX165" s="314"/>
      <c r="BY165" s="314"/>
      <c r="BZ165" s="314"/>
      <c r="CA165" s="314"/>
      <c r="CB165" s="314"/>
    </row>
    <row r="166" spans="1:81" ht="15.75" thickBot="1" x14ac:dyDescent="0.3">
      <c r="A166" s="96">
        <v>158</v>
      </c>
      <c r="B166" s="96" t="s">
        <v>889</v>
      </c>
      <c r="D166" s="201"/>
      <c r="E166" s="202" t="s">
        <v>215</v>
      </c>
      <c r="F166" s="773">
        <f>F155+F160+F162+F164</f>
        <v>7</v>
      </c>
      <c r="G166" s="773">
        <f t="shared" ref="G166:R166" si="426">G155+G160+G162+G164</f>
        <v>6</v>
      </c>
      <c r="H166" s="773">
        <f t="shared" si="426"/>
        <v>7</v>
      </c>
      <c r="I166" s="773">
        <f t="shared" si="426"/>
        <v>6</v>
      </c>
      <c r="J166" s="773">
        <f t="shared" si="426"/>
        <v>6</v>
      </c>
      <c r="K166" s="773">
        <f t="shared" si="426"/>
        <v>6</v>
      </c>
      <c r="L166" s="773">
        <f t="shared" si="426"/>
        <v>6</v>
      </c>
      <c r="M166" s="773">
        <f t="shared" si="426"/>
        <v>6</v>
      </c>
      <c r="N166" s="773">
        <f t="shared" si="426"/>
        <v>6</v>
      </c>
      <c r="O166" s="773">
        <f t="shared" si="426"/>
        <v>6</v>
      </c>
      <c r="P166" s="773">
        <f t="shared" si="426"/>
        <v>6</v>
      </c>
      <c r="Q166" s="773">
        <f t="shared" ref="Q166" si="427">Q155+Q160+Q162+Q164</f>
        <v>6</v>
      </c>
      <c r="R166" s="773">
        <f t="shared" si="426"/>
        <v>6</v>
      </c>
      <c r="T166" s="226">
        <f t="shared" si="400"/>
        <v>7</v>
      </c>
      <c r="U166" s="204"/>
      <c r="V166" s="205"/>
      <c r="W166" s="205"/>
      <c r="X166" s="205"/>
      <c r="Y166" s="206"/>
      <c r="Z166" s="206"/>
      <c r="AA166" s="773">
        <f t="shared" ref="AA166:AG166" si="428">AA155+AA160+AA162+AA164</f>
        <v>0</v>
      </c>
      <c r="AB166" s="773">
        <f t="shared" si="428"/>
        <v>7</v>
      </c>
      <c r="AD166" s="208">
        <f t="shared" si="428"/>
        <v>7.0000000000000007E-2</v>
      </c>
      <c r="AE166" s="208">
        <f t="shared" si="428"/>
        <v>0</v>
      </c>
      <c r="AF166" s="208">
        <f t="shared" si="428"/>
        <v>0</v>
      </c>
      <c r="AG166" s="208">
        <f t="shared" si="428"/>
        <v>0</v>
      </c>
      <c r="AI166" s="78">
        <f t="shared" ref="AI166:AK166" si="429">AI155+AI160+AI162+AI164</f>
        <v>0</v>
      </c>
      <c r="AJ166" s="78">
        <f t="shared" si="429"/>
        <v>0</v>
      </c>
      <c r="AK166" s="78">
        <f t="shared" si="429"/>
        <v>0</v>
      </c>
      <c r="AM166" s="139"/>
      <c r="AN166" s="139"/>
      <c r="AO166" s="139"/>
      <c r="AP166" s="139"/>
      <c r="AQ166" s="139"/>
      <c r="AR166" s="139"/>
      <c r="AS166" s="139"/>
      <c r="AT166" s="139"/>
      <c r="AU166" s="139"/>
      <c r="AV166" s="139"/>
      <c r="AW166" s="139"/>
      <c r="AY166" s="97"/>
      <c r="AZ166" s="209"/>
      <c r="BA166" s="97"/>
      <c r="BB166" s="97"/>
      <c r="BC166" s="97"/>
      <c r="BW166" s="202"/>
      <c r="BX166" s="202" t="str">
        <f>IFERROR(VLOOKUP($E166,'Pre-Assessment Estimator'!$E$11:$AB$225,'Pre-Assessment Estimator'!AB$2,FALSE),"")</f>
        <v/>
      </c>
      <c r="BY166" s="202" t="str">
        <f>IFERROR(VLOOKUP($E166,'Pre-Assessment Estimator'!$E$11:$AI$225,'Pre-Assessment Estimator'!AI$2,FALSE),"")</f>
        <v/>
      </c>
      <c r="BZ166" s="202" t="str">
        <f t="shared" ref="BZ166:CA169" si="430">IFERROR(VLOOKUP($BX166,$E$292:$H$325,F$290,FALSE),"")</f>
        <v/>
      </c>
      <c r="CA166" s="202" t="str">
        <f t="shared" si="430"/>
        <v/>
      </c>
      <c r="CB166" s="202"/>
      <c r="CC166" s="96" t="str">
        <f>IFERROR(VLOOKUP($BX166,$E$292:$H$325,I$290,FALSE),"")</f>
        <v/>
      </c>
    </row>
    <row r="167" spans="1:81" ht="15.75" thickBot="1" x14ac:dyDescent="0.3">
      <c r="A167" s="96">
        <v>159</v>
      </c>
      <c r="AI167" s="3"/>
      <c r="AJ167" s="3"/>
      <c r="AK167" s="3"/>
      <c r="AM167" s="139"/>
      <c r="AN167" s="139"/>
      <c r="AO167" s="139"/>
      <c r="AP167" s="139"/>
      <c r="AQ167" s="139"/>
      <c r="AR167" s="139"/>
      <c r="AS167" s="139"/>
      <c r="AT167" s="139"/>
      <c r="AU167" s="139"/>
      <c r="AV167" s="139"/>
      <c r="AW167" s="139"/>
      <c r="AY167" s="97"/>
      <c r="AZ167" s="97"/>
      <c r="BA167" s="97"/>
      <c r="BB167" s="97"/>
      <c r="BC167" s="97"/>
      <c r="BX167" s="96" t="str">
        <f>IFERROR(VLOOKUP($E167,'Pre-Assessment Estimator'!$E$11:$AB$225,'Pre-Assessment Estimator'!AB$2,FALSE),"")</f>
        <v/>
      </c>
      <c r="BY167" s="96" t="str">
        <f>IFERROR(VLOOKUP($E167,'Pre-Assessment Estimator'!$E$11:$AI$225,'Pre-Assessment Estimator'!AI$2,FALSE),"")</f>
        <v/>
      </c>
      <c r="BZ167" s="96" t="str">
        <f t="shared" si="430"/>
        <v/>
      </c>
      <c r="CA167" s="96" t="str">
        <f t="shared" si="430"/>
        <v/>
      </c>
      <c r="CC167" s="96" t="str">
        <f>IFERROR(VLOOKUP($BX167,$E$292:$H$325,I$290,FALSE),"")</f>
        <v/>
      </c>
    </row>
    <row r="168" spans="1:81" ht="60.75" thickBot="1" x14ac:dyDescent="0.3">
      <c r="A168" s="96">
        <v>160</v>
      </c>
      <c r="D168" s="151"/>
      <c r="E168" s="152" t="s">
        <v>226</v>
      </c>
      <c r="F168" s="1243" t="str">
        <f>$F$9</f>
        <v>Office</v>
      </c>
      <c r="G168" s="1243" t="str">
        <f>$G$9</f>
        <v>Retail</v>
      </c>
      <c r="H168" s="1247" t="str">
        <f>$H$9</f>
        <v>Residential</v>
      </c>
      <c r="I168" s="1243" t="str">
        <f>$I$9</f>
        <v>Industrial</v>
      </c>
      <c r="J168" s="1245" t="str">
        <f>$J$9</f>
        <v>Healthcare</v>
      </c>
      <c r="K168" s="1245" t="str">
        <f>$K$9</f>
        <v>Prison</v>
      </c>
      <c r="L168" s="1245" t="str">
        <f>$L$9</f>
        <v>Law Court</v>
      </c>
      <c r="M168" s="1249" t="str">
        <f>$M$9</f>
        <v>Residential institution (long term stay)</v>
      </c>
      <c r="N168" s="918" t="str">
        <f>$N$9</f>
        <v>Residential institution (short term stay)</v>
      </c>
      <c r="O168" s="918" t="str">
        <f>$O$9</f>
        <v>Non-residential institution</v>
      </c>
      <c r="P168" s="918" t="str">
        <f>$P$9</f>
        <v>Assembly and leisure</v>
      </c>
      <c r="Q168" s="1245" t="str">
        <f>$Q$9</f>
        <v>Education</v>
      </c>
      <c r="R168" s="857" t="str">
        <f>$R$9</f>
        <v>Other</v>
      </c>
      <c r="T168" s="138" t="str">
        <f>$E$6</f>
        <v>Office</v>
      </c>
      <c r="U168" s="210"/>
      <c r="V168" s="211"/>
      <c r="W168" s="211"/>
      <c r="X168" s="211"/>
      <c r="Y168" s="1167" t="s">
        <v>413</v>
      </c>
      <c r="Z168" s="347" t="s">
        <v>336</v>
      </c>
      <c r="AA168" s="150" t="s">
        <v>215</v>
      </c>
      <c r="AB168" s="59" t="s">
        <v>15</v>
      </c>
      <c r="AI168" s="42"/>
      <c r="AJ168" s="60"/>
      <c r="AK168" s="60"/>
      <c r="AM168" s="139"/>
      <c r="AN168" s="139"/>
      <c r="AO168" s="139"/>
      <c r="AP168" s="139"/>
      <c r="AQ168" s="139"/>
      <c r="AR168" s="139"/>
      <c r="AS168" s="139"/>
      <c r="AT168" s="139"/>
      <c r="AU168" s="139"/>
      <c r="AV168" s="139"/>
      <c r="AW168" s="139"/>
      <c r="AY168" s="97"/>
      <c r="AZ168" s="97"/>
      <c r="BA168" s="97"/>
      <c r="BB168" s="97"/>
      <c r="BC168" s="97"/>
      <c r="BO168" s="60"/>
      <c r="BP168" s="60"/>
      <c r="BQ168" s="60"/>
      <c r="BR168" s="60"/>
      <c r="BS168" s="60"/>
      <c r="BT168" s="60"/>
      <c r="BW168" s="146"/>
      <c r="BX168" s="146" t="str">
        <f>E168</f>
        <v>Land &amp; Ecology</v>
      </c>
      <c r="BY168" s="146" t="str">
        <f>IFERROR(VLOOKUP($E168,'Pre-Assessment Estimator'!$E$11:$AI$225,'Pre-Assessment Estimator'!AI$2,FALSE),"")</f>
        <v/>
      </c>
      <c r="BZ168" s="146" t="str">
        <f t="shared" si="430"/>
        <v/>
      </c>
      <c r="CA168" s="146" t="str">
        <f t="shared" si="430"/>
        <v/>
      </c>
      <c r="CB168" s="146"/>
      <c r="CC168" s="96" t="str">
        <f>IFERROR(VLOOKUP($BX168,$E$292:$H$325,I$290,FALSE),"")</f>
        <v/>
      </c>
    </row>
    <row r="169" spans="1:81" x14ac:dyDescent="0.25">
      <c r="A169" s="96">
        <v>161</v>
      </c>
      <c r="B169" s="137" t="str">
        <f>D169</f>
        <v>LE 01</v>
      </c>
      <c r="C169" s="137" t="str">
        <f>B169</f>
        <v>LE 01</v>
      </c>
      <c r="D169" s="858" t="s">
        <v>181</v>
      </c>
      <c r="E169" s="859" t="s">
        <v>161</v>
      </c>
      <c r="F169" s="933">
        <f>F170</f>
        <v>2</v>
      </c>
      <c r="G169" s="933">
        <f t="shared" ref="G169:R169" si="431">G170</f>
        <v>2</v>
      </c>
      <c r="H169" s="933">
        <f t="shared" si="431"/>
        <v>2</v>
      </c>
      <c r="I169" s="933">
        <f t="shared" si="431"/>
        <v>2</v>
      </c>
      <c r="J169" s="933">
        <f t="shared" si="431"/>
        <v>2</v>
      </c>
      <c r="K169" s="933">
        <f t="shared" si="431"/>
        <v>2</v>
      </c>
      <c r="L169" s="933">
        <f t="shared" si="431"/>
        <v>2</v>
      </c>
      <c r="M169" s="933">
        <f t="shared" si="431"/>
        <v>2</v>
      </c>
      <c r="N169" s="933">
        <f t="shared" si="431"/>
        <v>2</v>
      </c>
      <c r="O169" s="933">
        <f t="shared" si="431"/>
        <v>2</v>
      </c>
      <c r="P169" s="933">
        <f t="shared" si="431"/>
        <v>2</v>
      </c>
      <c r="Q169" s="933">
        <f t="shared" si="431"/>
        <v>2</v>
      </c>
      <c r="R169" s="933">
        <f t="shared" si="431"/>
        <v>2</v>
      </c>
      <c r="T169" s="961">
        <f t="shared" ref="T169:T197" si="432">HLOOKUP($E$6,$F$9:$R$231,$A169,FALSE)</f>
        <v>2</v>
      </c>
      <c r="U169" s="222"/>
      <c r="V169" s="230"/>
      <c r="W169" s="230"/>
      <c r="X169" s="230">
        <f>'Manuell filtrering og justering'!E75</f>
        <v>0</v>
      </c>
      <c r="Y169" s="230"/>
      <c r="Z169" s="958">
        <f t="shared" ref="Z169" si="433">Z170</f>
        <v>2</v>
      </c>
      <c r="AA169" s="963">
        <f t="shared" ref="AA169:AA196" si="434">IF(SUM(U169:Y169)&gt;T169,T169,SUM(U169:Y169))</f>
        <v>0</v>
      </c>
      <c r="AB169" s="1067">
        <f>SUM(AB170)</f>
        <v>2</v>
      </c>
      <c r="AD169" s="171">
        <f t="shared" ref="AD169:AD196" si="435">(LE_Weight/LE_Credits)*AB169</f>
        <v>1.5789473684210527E-2</v>
      </c>
      <c r="AE169" s="921">
        <f>SUM(AE170)</f>
        <v>0</v>
      </c>
      <c r="AF169" s="921">
        <f t="shared" ref="AF169" si="436">SUM(AF170)</f>
        <v>0</v>
      </c>
      <c r="AG169" s="921">
        <f t="shared" ref="AG169" si="437">SUM(AG170)</f>
        <v>0</v>
      </c>
      <c r="AI169" s="958">
        <f t="shared" ref="AI169" si="438">AI170</f>
        <v>0</v>
      </c>
      <c r="AJ169" s="958">
        <f t="shared" ref="AJ169" si="439">AJ170</f>
        <v>0</v>
      </c>
      <c r="AK169" s="958">
        <f t="shared" ref="AK169" si="440">AK170</f>
        <v>0</v>
      </c>
      <c r="AM169" s="298"/>
      <c r="AN169" s="299"/>
      <c r="AO169" s="299"/>
      <c r="AP169" s="299"/>
      <c r="AQ169" s="300"/>
      <c r="AR169" s="139"/>
      <c r="AS169" s="298"/>
      <c r="AT169" s="299"/>
      <c r="AU169" s="299"/>
      <c r="AV169" s="299"/>
      <c r="AW169" s="300"/>
      <c r="AY169" s="218"/>
      <c r="AZ169" s="219"/>
      <c r="BA169" s="219"/>
      <c r="BB169" s="219"/>
      <c r="BC169" s="220"/>
      <c r="BD169" s="174">
        <f t="shared" si="60"/>
        <v>9</v>
      </c>
      <c r="BE169" s="164" t="str">
        <f t="shared" ref="BE169:BE196" si="441">VLOOKUP(BD169,$BO$283:$BT$289,6,FALSE)</f>
        <v>N/A</v>
      </c>
      <c r="BF169" s="178"/>
      <c r="BG169" s="174">
        <f t="shared" ref="BG169:BG172" si="442">IF(BC169=0,9,IF(AJ169&gt;=BC169,5,IF(AJ169&gt;=BB169,4,IF(AJ169&gt;=BA169,3,IF(AJ169&gt;=AZ169,2,IF(AJ169&lt;AY169,0,1))))))</f>
        <v>9</v>
      </c>
      <c r="BH169" s="164" t="str">
        <f t="shared" ref="BH169:BH196" si="443">VLOOKUP(BG169,$BO$283:$BT$289,6,FALSE)</f>
        <v>N/A</v>
      </c>
      <c r="BI169" s="178"/>
      <c r="BJ169" s="174">
        <f t="shared" ref="BJ169:BJ225" si="444">IF(BC169=0,9,IF(AK169&gt;=BC169,5,IF(AK169&gt;=BB169,4,IF(AK169&gt;=BA169,3,IF(AK169&gt;=AZ169,2,IF(AK169&lt;AY169,0,1))))))</f>
        <v>9</v>
      </c>
      <c r="BK169" s="164" t="str">
        <f t="shared" ref="BK169:BK196" si="445">VLOOKUP(BJ169,$BO$283:$BT$289,6,FALSE)</f>
        <v>N/A</v>
      </c>
      <c r="BL169" s="178"/>
      <c r="BO169" s="167"/>
      <c r="BP169" s="167"/>
      <c r="BQ169" s="167" t="str">
        <f t="shared" si="342"/>
        <v/>
      </c>
      <c r="BR169" s="167">
        <f t="shared" si="396"/>
        <v>9</v>
      </c>
      <c r="BS169" s="167">
        <f t="shared" si="397"/>
        <v>9</v>
      </c>
      <c r="BT169" s="167">
        <f t="shared" si="398"/>
        <v>9</v>
      </c>
      <c r="BW169" s="164" t="str">
        <f>D169</f>
        <v>LE 01</v>
      </c>
      <c r="BX169" s="164" t="str">
        <f>IFERROR(VLOOKUP($E169,'Pre-Assessment Estimator'!$E$11:$AB$225,'Pre-Assessment Estimator'!AB$2,FALSE),"")</f>
        <v>N/A</v>
      </c>
      <c r="BY169" s="164">
        <f>IFERROR(VLOOKUP($E169,'Pre-Assessment Estimator'!$E$11:$AI$225,'Pre-Assessment Estimator'!AI$2,FALSE),"")</f>
        <v>0</v>
      </c>
      <c r="BZ169" s="164">
        <f t="shared" si="430"/>
        <v>1</v>
      </c>
      <c r="CA169" s="164">
        <f t="shared" si="430"/>
        <v>0</v>
      </c>
      <c r="CB169" s="164"/>
      <c r="CC169" s="96" t="str">
        <f>IFERROR(VLOOKUP($BX169,$E$292:$H$325,I$290,FALSE),"")</f>
        <v/>
      </c>
    </row>
    <row r="170" spans="1:81" x14ac:dyDescent="0.25">
      <c r="A170" s="96">
        <v>162</v>
      </c>
      <c r="B170" s="96" t="str">
        <f t="shared" ref="B170" si="446">$D$169&amp;D170</f>
        <v>LE 01a</v>
      </c>
      <c r="C170" s="96" t="str">
        <f t="shared" si="344"/>
        <v>LE 01</v>
      </c>
      <c r="D170" s="166" t="s">
        <v>694</v>
      </c>
      <c r="E170" s="1108" t="s">
        <v>672</v>
      </c>
      <c r="F170" s="775">
        <v>2</v>
      </c>
      <c r="G170" s="775">
        <v>2</v>
      </c>
      <c r="H170" s="775">
        <v>2</v>
      </c>
      <c r="I170" s="775">
        <v>2</v>
      </c>
      <c r="J170" s="775">
        <v>2</v>
      </c>
      <c r="K170" s="775">
        <v>2</v>
      </c>
      <c r="L170" s="775">
        <v>2</v>
      </c>
      <c r="M170" s="775">
        <v>2</v>
      </c>
      <c r="N170" s="775">
        <v>2</v>
      </c>
      <c r="O170" s="775">
        <v>2</v>
      </c>
      <c r="P170" s="775">
        <v>2</v>
      </c>
      <c r="Q170" s="775">
        <v>2</v>
      </c>
      <c r="R170" s="775">
        <v>2</v>
      </c>
      <c r="T170" s="221">
        <f t="shared" si="432"/>
        <v>2</v>
      </c>
      <c r="U170" s="166"/>
      <c r="V170" s="167"/>
      <c r="W170" s="167"/>
      <c r="X170" s="167"/>
      <c r="Y170" s="168"/>
      <c r="Z170" s="168">
        <f>VLOOKUP(B170,'Manuell filtrering og justering'!$A$7:$H$253,'Manuell filtrering og justering'!$H$1,FALSE)</f>
        <v>2</v>
      </c>
      <c r="AA170" s="169">
        <f t="shared" si="434"/>
        <v>0</v>
      </c>
      <c r="AB170" s="170">
        <f>IF($AC$5='Manuell filtrering og justering'!$J$2,Z170,(T170-AA170))</f>
        <v>2</v>
      </c>
      <c r="AD170" s="171">
        <f t="shared" si="435"/>
        <v>1.5789473684210527E-2</v>
      </c>
      <c r="AE170" s="171">
        <f t="shared" ref="AE170:AE196" si="447">IF(AB170=0,0,(AD170/AB170)*AI170)</f>
        <v>0</v>
      </c>
      <c r="AF170" s="171">
        <f t="shared" ref="AF170:AF196" si="448">IF(AB170=0,0,(AD170/AB170)*AJ170)</f>
        <v>0</v>
      </c>
      <c r="AG170" s="171">
        <f t="shared" ref="AG170:AG196" si="449">IF(AB170=0,0,(AD170/AB170)*AK170)</f>
        <v>0</v>
      </c>
      <c r="AI170" s="172">
        <f>IF(VLOOKUP(E170,'Pre-Assessment Estimator'!$E$11:$Z$225,'Pre-Assessment Estimator'!$G$2,FALSE)&gt;AB170,AB170,VLOOKUP(E170,'Pre-Assessment Estimator'!$E$11:$Z$225,'Pre-Assessment Estimator'!$G$2,FALSE))</f>
        <v>0</v>
      </c>
      <c r="AJ170" s="172">
        <f>IF(VLOOKUP(E170,'Pre-Assessment Estimator'!$E$11:$Z$225,'Pre-Assessment Estimator'!$N$2,FALSE)&gt;AB170,AB170,VLOOKUP(E170,'Pre-Assessment Estimator'!$E$11:$Z$225,'Pre-Assessment Estimator'!$N$2,FALSE))</f>
        <v>0</v>
      </c>
      <c r="AK170" s="172">
        <f>IF(VLOOKUP(E170,'Pre-Assessment Estimator'!$E$11:$Z$225,'Pre-Assessment Estimator'!$U$2,FALSE)&gt;AB170,AB170,VLOOKUP(E170,'Pre-Assessment Estimator'!$E$11:$Z$225,'Pre-Assessment Estimator'!$U$2,FALSE))</f>
        <v>0</v>
      </c>
      <c r="AM170" s="835"/>
      <c r="AN170" s="836"/>
      <c r="AO170" s="836"/>
      <c r="AP170" s="836"/>
      <c r="AQ170" s="837"/>
      <c r="AR170" s="139"/>
      <c r="AS170" s="835"/>
      <c r="AT170" s="836"/>
      <c r="AU170" s="836"/>
      <c r="AV170" s="836"/>
      <c r="AW170" s="837"/>
      <c r="AY170" s="708"/>
      <c r="AZ170" s="709"/>
      <c r="BA170" s="709"/>
      <c r="BB170" s="709"/>
      <c r="BC170" s="838"/>
      <c r="BD170" s="182">
        <f t="shared" ref="BD170" si="450">IF(BC170=0,9,IF(AI170&gt;=BC170,5,IF(AI170&gt;=BB170,4,IF(AI170&gt;=BA170,3,IF(AI170&gt;=AZ170,2,IF(AI170&lt;AY170,0,1))))))</f>
        <v>9</v>
      </c>
      <c r="BE170" s="164" t="str">
        <f t="shared" si="441"/>
        <v>N/A</v>
      </c>
      <c r="BF170" s="185"/>
      <c r="BG170" s="182">
        <f t="shared" ref="BG170" si="451">IF(BC170=0,9,IF(AJ170&gt;=BC170,5,IF(AJ170&gt;=BB170,4,IF(AJ170&gt;=BA170,3,IF(AJ170&gt;=AZ170,2,IF(AJ170&lt;AY170,0,1))))))</f>
        <v>9</v>
      </c>
      <c r="BH170" s="164" t="str">
        <f t="shared" si="443"/>
        <v>N/A</v>
      </c>
      <c r="BI170" s="185"/>
      <c r="BJ170" s="182">
        <f t="shared" ref="BJ170" si="452">IF(BC170=0,9,IF(AK170&gt;=BC170,5,IF(AK170&gt;=BB170,4,IF(AK170&gt;=BA170,3,IF(AK170&gt;=AZ170,2,IF(AK170&lt;AY170,0,1))))))</f>
        <v>9</v>
      </c>
      <c r="BK170" s="164" t="str">
        <f t="shared" si="445"/>
        <v>N/A</v>
      </c>
      <c r="BL170" s="830"/>
      <c r="BO170" s="167"/>
      <c r="BP170" s="167"/>
      <c r="BQ170" s="167" t="str">
        <f t="shared" si="342"/>
        <v/>
      </c>
      <c r="BR170" s="167">
        <f t="shared" si="396"/>
        <v>9</v>
      </c>
      <c r="BS170" s="167">
        <f t="shared" si="397"/>
        <v>9</v>
      </c>
      <c r="BT170" s="167">
        <f t="shared" si="398"/>
        <v>9</v>
      </c>
      <c r="BW170" s="164"/>
      <c r="BX170" s="164"/>
      <c r="BY170" s="164"/>
      <c r="BZ170" s="164"/>
      <c r="CA170" s="164"/>
      <c r="CB170" s="164"/>
    </row>
    <row r="171" spans="1:81" x14ac:dyDescent="0.25">
      <c r="A171" s="96">
        <v>163</v>
      </c>
      <c r="B171" s="137" t="str">
        <f>D171</f>
        <v>LE 02</v>
      </c>
      <c r="C171" s="137" t="str">
        <f>B171</f>
        <v>LE 02</v>
      </c>
      <c r="D171" s="834" t="s">
        <v>182</v>
      </c>
      <c r="E171" s="832" t="s">
        <v>470</v>
      </c>
      <c r="F171" s="933">
        <f>SUM(F172:F174)</f>
        <v>2</v>
      </c>
      <c r="G171" s="933">
        <f t="shared" ref="G171:R171" si="453">SUM(G172:G174)</f>
        <v>2</v>
      </c>
      <c r="H171" s="933">
        <f t="shared" si="453"/>
        <v>2</v>
      </c>
      <c r="I171" s="933">
        <f t="shared" si="453"/>
        <v>2</v>
      </c>
      <c r="J171" s="933">
        <f t="shared" si="453"/>
        <v>2</v>
      </c>
      <c r="K171" s="933">
        <f t="shared" si="453"/>
        <v>2</v>
      </c>
      <c r="L171" s="933">
        <f t="shared" si="453"/>
        <v>2</v>
      </c>
      <c r="M171" s="933">
        <f t="shared" si="453"/>
        <v>2</v>
      </c>
      <c r="N171" s="933">
        <f t="shared" si="453"/>
        <v>2</v>
      </c>
      <c r="O171" s="933">
        <f t="shared" si="453"/>
        <v>2</v>
      </c>
      <c r="P171" s="933">
        <f t="shared" si="453"/>
        <v>2</v>
      </c>
      <c r="Q171" s="933">
        <f t="shared" ref="Q171" si="454">SUM(Q172:Q174)</f>
        <v>2</v>
      </c>
      <c r="R171" s="933">
        <f t="shared" si="453"/>
        <v>2</v>
      </c>
      <c r="T171" s="963">
        <f t="shared" si="432"/>
        <v>2</v>
      </c>
      <c r="U171" s="222"/>
      <c r="V171" s="230"/>
      <c r="W171" s="230"/>
      <c r="X171" s="230">
        <f>'Manuell filtrering og justering'!E76</f>
        <v>0</v>
      </c>
      <c r="Y171" s="230"/>
      <c r="Z171" s="958">
        <f t="shared" ref="Z171" si="455">SUM(Z172:Z174)</f>
        <v>2</v>
      </c>
      <c r="AA171" s="963">
        <f t="shared" si="434"/>
        <v>0</v>
      </c>
      <c r="AB171" s="1067">
        <f>SUM(AB172:AB174)</f>
        <v>2</v>
      </c>
      <c r="AD171" s="171">
        <f t="shared" si="435"/>
        <v>1.5789473684210527E-2</v>
      </c>
      <c r="AE171" s="921">
        <f>SUM(AE172:AE174)</f>
        <v>0</v>
      </c>
      <c r="AF171" s="921">
        <f t="shared" ref="AF171" si="456">SUM(AF172:AF174)</f>
        <v>0</v>
      </c>
      <c r="AG171" s="921">
        <f t="shared" ref="AG171" si="457">SUM(AG172:AG174)</f>
        <v>0</v>
      </c>
      <c r="AI171" s="958">
        <f t="shared" ref="AI171" si="458">SUM(AI172:AI174)</f>
        <v>0</v>
      </c>
      <c r="AJ171" s="958">
        <f t="shared" ref="AJ171" si="459">SUM(AJ172:AJ174)</f>
        <v>0</v>
      </c>
      <c r="AK171" s="958">
        <f t="shared" ref="AK171" si="460">SUM(AK172:AK174)</f>
        <v>0</v>
      </c>
      <c r="AM171" s="292"/>
      <c r="AN171" s="293"/>
      <c r="AO171" s="293"/>
      <c r="AP171" s="181"/>
      <c r="AQ171" s="186"/>
      <c r="AR171" s="139"/>
      <c r="AS171" s="291"/>
      <c r="AT171" s="181"/>
      <c r="AU171" s="181"/>
      <c r="AV171" s="181"/>
      <c r="AW171" s="186"/>
      <c r="AY171" s="188"/>
      <c r="AZ171" s="189"/>
      <c r="BA171" s="189"/>
      <c r="BB171" s="189"/>
      <c r="BC171" s="190"/>
      <c r="BD171" s="182">
        <f t="shared" ref="BD171:BD225" si="461">IF(BC171=0,9,IF(AI171&gt;=BC171,5,IF(AI171&gt;=BB171,4,IF(AI171&gt;=BA171,3,IF(AI171&gt;=AZ171,2,IF(AI171&lt;AY171,0,1))))))</f>
        <v>9</v>
      </c>
      <c r="BE171" s="164" t="str">
        <f t="shared" si="441"/>
        <v>N/A</v>
      </c>
      <c r="BF171" s="185"/>
      <c r="BG171" s="182">
        <f t="shared" si="442"/>
        <v>9</v>
      </c>
      <c r="BH171" s="164" t="str">
        <f t="shared" si="443"/>
        <v>N/A</v>
      </c>
      <c r="BI171" s="185"/>
      <c r="BJ171" s="182">
        <f t="shared" si="444"/>
        <v>9</v>
      </c>
      <c r="BK171" s="164" t="str">
        <f t="shared" si="445"/>
        <v>N/A</v>
      </c>
      <c r="BL171" s="185"/>
      <c r="BO171" s="167"/>
      <c r="BP171" s="167"/>
      <c r="BQ171" s="167" t="str">
        <f t="shared" si="342"/>
        <v/>
      </c>
      <c r="BR171" s="167">
        <f t="shared" si="396"/>
        <v>9</v>
      </c>
      <c r="BS171" s="167">
        <f t="shared" si="397"/>
        <v>9</v>
      </c>
      <c r="BT171" s="167">
        <f t="shared" si="398"/>
        <v>9</v>
      </c>
      <c r="BW171" s="167" t="str">
        <f>D171</f>
        <v>LE 02</v>
      </c>
      <c r="BX171" s="167" t="str">
        <f>IFERROR(VLOOKUP($E171,'Pre-Assessment Estimator'!$E$11:$AB$225,'Pre-Assessment Estimator'!AB$2,FALSE),"")</f>
        <v>N/A</v>
      </c>
      <c r="BY171" s="167">
        <f>IFERROR(VLOOKUP($E171,'Pre-Assessment Estimator'!$E$11:$AI$225,'Pre-Assessment Estimator'!AI$2,FALSE),"")</f>
        <v>0</v>
      </c>
      <c r="BZ171" s="167">
        <f>IFERROR(VLOOKUP($BX171,$E$292:$H$325,F$290,FALSE),"")</f>
        <v>1</v>
      </c>
      <c r="CA171" s="167">
        <f>IFERROR(VLOOKUP($BX171,$E$292:$H$325,G$290,FALSE),"")</f>
        <v>0</v>
      </c>
      <c r="CB171" s="167"/>
      <c r="CC171" s="96" t="str">
        <f>IFERROR(VLOOKUP($BX171,$E$292:$H$325,I$290,FALSE),"")</f>
        <v/>
      </c>
    </row>
    <row r="172" spans="1:81" x14ac:dyDescent="0.25">
      <c r="A172" s="96">
        <v>164</v>
      </c>
      <c r="C172" s="96" t="str">
        <f t="shared" si="344"/>
        <v>LE 02</v>
      </c>
      <c r="D172" s="166" t="s">
        <v>694</v>
      </c>
      <c r="E172" s="940" t="s">
        <v>1031</v>
      </c>
      <c r="F172" s="775"/>
      <c r="G172" s="775"/>
      <c r="H172" s="775"/>
      <c r="I172" s="775"/>
      <c r="J172" s="775"/>
      <c r="K172" s="775"/>
      <c r="L172" s="775"/>
      <c r="M172" s="775"/>
      <c r="N172" s="775"/>
      <c r="O172" s="775"/>
      <c r="P172" s="775"/>
      <c r="Q172" s="775"/>
      <c r="R172" s="775"/>
      <c r="T172" s="221">
        <f t="shared" si="432"/>
        <v>0</v>
      </c>
      <c r="U172" s="166"/>
      <c r="V172" s="167"/>
      <c r="W172" s="167"/>
      <c r="X172" s="167"/>
      <c r="Y172" s="168"/>
      <c r="Z172" s="168"/>
      <c r="AA172" s="169">
        <f t="shared" si="434"/>
        <v>0</v>
      </c>
      <c r="AB172" s="170">
        <f>IF($AC$5='Manuell filtrering og justering'!$J$2,Z172,(T172-AA172))</f>
        <v>0</v>
      </c>
      <c r="AD172" s="171">
        <f t="shared" si="435"/>
        <v>0</v>
      </c>
      <c r="AE172" s="171">
        <f t="shared" si="447"/>
        <v>0</v>
      </c>
      <c r="AF172" s="171">
        <f t="shared" si="448"/>
        <v>0</v>
      </c>
      <c r="AG172" s="171">
        <f t="shared" si="449"/>
        <v>0</v>
      </c>
      <c r="AI172" s="172">
        <f>IF(VLOOKUP(E172,'Pre-Assessment Estimator'!$E$11:$Z$225,'Pre-Assessment Estimator'!$G$2,FALSE)&gt;AB172,AB172,VLOOKUP(E172,'Pre-Assessment Estimator'!$E$11:$Z$225,'Pre-Assessment Estimator'!$G$2,FALSE))</f>
        <v>0</v>
      </c>
      <c r="AJ172" s="172">
        <f>IF(VLOOKUP(E172,'Pre-Assessment Estimator'!$E$11:$Z$225,'Pre-Assessment Estimator'!$N$2,FALSE)&gt;AB172,AB172,VLOOKUP(E172,'Pre-Assessment Estimator'!$E$11:$Z$225,'Pre-Assessment Estimator'!$N$2,FALSE))</f>
        <v>0</v>
      </c>
      <c r="AK172" s="172">
        <f>IF(VLOOKUP(E172,'Pre-Assessment Estimator'!$E$11:$Z$225,'Pre-Assessment Estimator'!$U$2,FALSE)&gt;AB172,AB172,VLOOKUP(E172,'Pre-Assessment Estimator'!$E$11:$Z$225,'Pre-Assessment Estimator'!$U$2,FALSE))</f>
        <v>0</v>
      </c>
      <c r="AM172" s="292"/>
      <c r="AN172" s="293"/>
      <c r="AO172" s="293"/>
      <c r="AP172" s="181"/>
      <c r="AQ172" s="186"/>
      <c r="AR172" s="139"/>
      <c r="AS172" s="291"/>
      <c r="AT172" s="181"/>
      <c r="AU172" s="181"/>
      <c r="AV172" s="181"/>
      <c r="AW172" s="186"/>
      <c r="AY172" s="188"/>
      <c r="AZ172" s="189"/>
      <c r="BA172" s="189"/>
      <c r="BB172" s="189"/>
      <c r="BC172" s="190"/>
      <c r="BD172" s="182">
        <f t="shared" si="461"/>
        <v>9</v>
      </c>
      <c r="BE172" s="164" t="str">
        <f t="shared" si="441"/>
        <v>N/A</v>
      </c>
      <c r="BF172" s="185"/>
      <c r="BG172" s="182">
        <f t="shared" si="442"/>
        <v>9</v>
      </c>
      <c r="BH172" s="164" t="str">
        <f t="shared" si="443"/>
        <v>N/A</v>
      </c>
      <c r="BI172" s="185"/>
      <c r="BJ172" s="182">
        <f t="shared" si="444"/>
        <v>9</v>
      </c>
      <c r="BK172" s="164" t="str">
        <f t="shared" si="445"/>
        <v>N/A</v>
      </c>
      <c r="BL172" s="185"/>
      <c r="BO172" s="167"/>
      <c r="BP172" s="167"/>
      <c r="BQ172" s="167" t="str">
        <f t="shared" si="342"/>
        <v/>
      </c>
      <c r="BR172" s="167">
        <f t="shared" si="396"/>
        <v>9</v>
      </c>
      <c r="BS172" s="167">
        <f t="shared" si="397"/>
        <v>9</v>
      </c>
      <c r="BT172" s="167">
        <f t="shared" si="398"/>
        <v>9</v>
      </c>
      <c r="BW172" s="167"/>
      <c r="BX172" s="167"/>
      <c r="BY172" s="167"/>
      <c r="BZ172" s="167"/>
      <c r="CA172" s="167"/>
      <c r="CB172" s="167"/>
    </row>
    <row r="173" spans="1:81" x14ac:dyDescent="0.25">
      <c r="A173" s="96">
        <v>165</v>
      </c>
      <c r="B173" s="96" t="str">
        <f t="shared" ref="B173:B174" si="462">$D$171&amp;D173</f>
        <v>LE 02b</v>
      </c>
      <c r="C173" s="96" t="str">
        <f t="shared" si="344"/>
        <v>LE 02</v>
      </c>
      <c r="D173" s="188" t="s">
        <v>697</v>
      </c>
      <c r="E173" s="1250" t="s">
        <v>1062</v>
      </c>
      <c r="F173" s="775">
        <v>1</v>
      </c>
      <c r="G173" s="775">
        <v>1</v>
      </c>
      <c r="H173" s="775">
        <v>1</v>
      </c>
      <c r="I173" s="775">
        <v>1</v>
      </c>
      <c r="J173" s="775">
        <v>1</v>
      </c>
      <c r="K173" s="775">
        <v>1</v>
      </c>
      <c r="L173" s="775">
        <v>1</v>
      </c>
      <c r="M173" s="775">
        <v>1</v>
      </c>
      <c r="N173" s="775">
        <v>1</v>
      </c>
      <c r="O173" s="775">
        <v>1</v>
      </c>
      <c r="P173" s="775">
        <v>1</v>
      </c>
      <c r="Q173" s="775">
        <v>1</v>
      </c>
      <c r="R173" s="775">
        <v>1</v>
      </c>
      <c r="T173" s="221">
        <f t="shared" si="432"/>
        <v>1</v>
      </c>
      <c r="U173" s="166"/>
      <c r="V173" s="167"/>
      <c r="W173" s="167"/>
      <c r="X173" s="167"/>
      <c r="Y173" s="168"/>
      <c r="Z173" s="168">
        <f>VLOOKUP(B173,'Manuell filtrering og justering'!$A$7:$H$253,'Manuell filtrering og justering'!$H$1,FALSE)</f>
        <v>1</v>
      </c>
      <c r="AA173" s="169">
        <f t="shared" si="434"/>
        <v>0</v>
      </c>
      <c r="AB173" s="170">
        <f>IF($AC$5='Manuell filtrering og justering'!$J$2,Z173,(T173-AA173))</f>
        <v>1</v>
      </c>
      <c r="AD173" s="171">
        <f t="shared" si="435"/>
        <v>7.8947368421052634E-3</v>
      </c>
      <c r="AE173" s="171">
        <f t="shared" si="447"/>
        <v>0</v>
      </c>
      <c r="AF173" s="171">
        <f t="shared" si="448"/>
        <v>0</v>
      </c>
      <c r="AG173" s="171">
        <f t="shared" si="449"/>
        <v>0</v>
      </c>
      <c r="AI173" s="1068">
        <f>IF(AI242=AD_no,0,IF(VLOOKUP(E173,'Pre-Assessment Estimator'!$E$11:$Z$225,'Pre-Assessment Estimator'!$G$2,FALSE)&gt;AB173,AB173,VLOOKUP(E173,'Pre-Assessment Estimator'!$E$11:$Z$225,'Pre-Assessment Estimator'!$G$2,FALSE)))</f>
        <v>0</v>
      </c>
      <c r="AJ173" s="1068">
        <f>IF(AJ242=AD_no,0,IF(VLOOKUP(E173,'Pre-Assessment Estimator'!$E$11:$Z$225,'Pre-Assessment Estimator'!$N$2,FALSE)&gt;AB173,AB173,VLOOKUP(E173,'Pre-Assessment Estimator'!$E$11:$Z$225,'Pre-Assessment Estimator'!$N$2,FALSE)))</f>
        <v>0</v>
      </c>
      <c r="AK173" s="1068">
        <f>IF(AK242=AD_no,0,IF(VLOOKUP(E173,'Pre-Assessment Estimator'!$E$11:$Z$225,'Pre-Assessment Estimator'!$U$2,FALSE)&gt;AB173,AB173,VLOOKUP(E173,'Pre-Assessment Estimator'!$E$11:$Z$225,'Pre-Assessment Estimator'!$U$2,FALSE)))</f>
        <v>0</v>
      </c>
      <c r="AM173" s="292"/>
      <c r="AN173" s="293"/>
      <c r="AO173" s="293">
        <v>1</v>
      </c>
      <c r="AP173" s="181">
        <v>1</v>
      </c>
      <c r="AQ173" s="186">
        <v>1</v>
      </c>
      <c r="AR173" s="139"/>
      <c r="AS173" s="291"/>
      <c r="AT173" s="181"/>
      <c r="AU173" s="181">
        <v>1</v>
      </c>
      <c r="AV173" s="181">
        <v>1</v>
      </c>
      <c r="AW173" s="186">
        <v>1</v>
      </c>
      <c r="AY173" s="188"/>
      <c r="AZ173" s="189"/>
      <c r="BA173" s="183">
        <f>IF($AB173=0,0,IF($E$6=$H$9,AU173,AO173))</f>
        <v>1</v>
      </c>
      <c r="BB173" s="183">
        <f>IF($AB173=0,0,IF($E$6=$H$9,AV173,AP173))</f>
        <v>1</v>
      </c>
      <c r="BC173" s="183">
        <f>IF($AB173=0,0,IF($E$6=$H$9,AW173,AQ173))</f>
        <v>1</v>
      </c>
      <c r="BD173" s="182">
        <f t="shared" ref="BD173:BD191" si="463">IF(BC173=0,9,IF(AI173&gt;=BC173,5,IF(AI173&gt;=BB173,4,IF(AI173&gt;=BA173,3,IF(AI173&gt;=AZ173,2,IF(AI173&lt;AY173,0,1))))))</f>
        <v>2</v>
      </c>
      <c r="BE173" s="164" t="str">
        <f t="shared" si="441"/>
        <v>Good</v>
      </c>
      <c r="BF173" s="185"/>
      <c r="BG173" s="182">
        <f t="shared" ref="BG173:BG191" si="464">IF(BC173=0,9,IF(AJ173&gt;=BC173,5,IF(AJ173&gt;=BB173,4,IF(AJ173&gt;=BA173,3,IF(AJ173&gt;=AZ173,2,IF(AJ173&lt;AY173,0,1))))))</f>
        <v>2</v>
      </c>
      <c r="BH173" s="164" t="str">
        <f t="shared" si="443"/>
        <v>Good</v>
      </c>
      <c r="BI173" s="185"/>
      <c r="BJ173" s="182">
        <f t="shared" ref="BJ173:BJ191" si="465">IF(BC173=0,9,IF(AK173&gt;=BC173,5,IF(AK173&gt;=BB173,4,IF(AK173&gt;=BA173,3,IF(AK173&gt;=AZ173,2,IF(AK173&lt;AY173,0,1))))))</f>
        <v>2</v>
      </c>
      <c r="BK173" s="164" t="str">
        <f t="shared" si="445"/>
        <v>Good</v>
      </c>
      <c r="BL173" s="185"/>
      <c r="BO173" s="167"/>
      <c r="BP173" s="167">
        <v>1</v>
      </c>
      <c r="BQ173" s="167">
        <f t="shared" si="342"/>
        <v>1</v>
      </c>
      <c r="BR173" s="167">
        <f t="shared" si="396"/>
        <v>0</v>
      </c>
      <c r="BS173" s="167">
        <f t="shared" si="397"/>
        <v>0</v>
      </c>
      <c r="BT173" s="167">
        <f t="shared" si="398"/>
        <v>0</v>
      </c>
      <c r="BW173" s="167"/>
      <c r="BX173" s="167"/>
      <c r="BY173" s="167"/>
      <c r="BZ173" s="167"/>
      <c r="CA173" s="167"/>
      <c r="CB173" s="167"/>
    </row>
    <row r="174" spans="1:81" x14ac:dyDescent="0.25">
      <c r="A174" s="96">
        <v>166</v>
      </c>
      <c r="B174" s="96" t="str">
        <f t="shared" si="462"/>
        <v>LE 02c</v>
      </c>
      <c r="C174" s="96" t="str">
        <f t="shared" si="344"/>
        <v>LE 02</v>
      </c>
      <c r="D174" s="188" t="s">
        <v>698</v>
      </c>
      <c r="E174" s="1108" t="s">
        <v>675</v>
      </c>
      <c r="F174" s="775">
        <v>1</v>
      </c>
      <c r="G174" s="775">
        <v>1</v>
      </c>
      <c r="H174" s="775">
        <v>1</v>
      </c>
      <c r="I174" s="775">
        <v>1</v>
      </c>
      <c r="J174" s="775">
        <v>1</v>
      </c>
      <c r="K174" s="775">
        <v>1</v>
      </c>
      <c r="L174" s="775">
        <v>1</v>
      </c>
      <c r="M174" s="775">
        <v>1</v>
      </c>
      <c r="N174" s="775">
        <v>1</v>
      </c>
      <c r="O174" s="775">
        <v>1</v>
      </c>
      <c r="P174" s="775">
        <v>1</v>
      </c>
      <c r="Q174" s="775">
        <v>1</v>
      </c>
      <c r="R174" s="775">
        <v>1</v>
      </c>
      <c r="T174" s="221">
        <f t="shared" si="432"/>
        <v>1</v>
      </c>
      <c r="U174" s="166"/>
      <c r="V174" s="167"/>
      <c r="W174" s="167"/>
      <c r="X174" s="167"/>
      <c r="Y174" s="168"/>
      <c r="Z174" s="168">
        <f>VLOOKUP(B174,'Manuell filtrering og justering'!$A$7:$H$253,'Manuell filtrering og justering'!$H$1,FALSE)</f>
        <v>1</v>
      </c>
      <c r="AA174" s="169">
        <f t="shared" si="434"/>
        <v>0</v>
      </c>
      <c r="AB174" s="170">
        <f>IF($AC$5='Manuell filtrering og justering'!$J$2,Z174,(T174-AA174))</f>
        <v>1</v>
      </c>
      <c r="AD174" s="171">
        <f t="shared" si="435"/>
        <v>7.8947368421052634E-3</v>
      </c>
      <c r="AE174" s="171">
        <f t="shared" si="447"/>
        <v>0</v>
      </c>
      <c r="AF174" s="171">
        <f t="shared" si="448"/>
        <v>0</v>
      </c>
      <c r="AG174" s="171">
        <f t="shared" si="449"/>
        <v>0</v>
      </c>
      <c r="AI174" s="1068">
        <f>IF(AI242=AD_no,0,IF(VLOOKUP(E174,'Pre-Assessment Estimator'!$E$11:$Z$225,'Pre-Assessment Estimator'!$G$2,FALSE)&gt;AB174,AB174,VLOOKUP(E174,'Pre-Assessment Estimator'!$E$11:$Z$225,'Pre-Assessment Estimator'!$G$2,FALSE)))</f>
        <v>0</v>
      </c>
      <c r="AJ174" s="1068">
        <f>IF(AJ242=AD_no,0,IF(VLOOKUP(E174,'Pre-Assessment Estimator'!$E$11:$Z$225,'Pre-Assessment Estimator'!$N$2,FALSE)&gt;AB174,AB174,VLOOKUP(E174,'Pre-Assessment Estimator'!$E$11:$Z$225,'Pre-Assessment Estimator'!$N$2,FALSE)))</f>
        <v>0</v>
      </c>
      <c r="AK174" s="1068">
        <f>IF(AK242=AD_no,0,IF(VLOOKUP(E174,'Pre-Assessment Estimator'!$E$11:$Z$225,'Pre-Assessment Estimator'!$U$2,FALSE)&gt;AB174,AB174,VLOOKUP(E174,'Pre-Assessment Estimator'!$E$11:$Z$225,'Pre-Assessment Estimator'!$U$2,FALSE)))</f>
        <v>0</v>
      </c>
      <c r="AM174" s="292"/>
      <c r="AN174" s="293"/>
      <c r="AO174" s="293"/>
      <c r="AP174" s="181"/>
      <c r="AQ174" s="186"/>
      <c r="AR174" s="139"/>
      <c r="AS174" s="291"/>
      <c r="AT174" s="181"/>
      <c r="AU174" s="181"/>
      <c r="AV174" s="181"/>
      <c r="AW174" s="186"/>
      <c r="AY174" s="188"/>
      <c r="AZ174" s="189"/>
      <c r="BA174" s="189"/>
      <c r="BB174" s="189"/>
      <c r="BC174" s="190"/>
      <c r="BD174" s="182">
        <f t="shared" si="463"/>
        <v>9</v>
      </c>
      <c r="BE174" s="164" t="str">
        <f t="shared" si="441"/>
        <v>N/A</v>
      </c>
      <c r="BF174" s="185"/>
      <c r="BG174" s="182">
        <f t="shared" si="464"/>
        <v>9</v>
      </c>
      <c r="BH174" s="164" t="str">
        <f t="shared" si="443"/>
        <v>N/A</v>
      </c>
      <c r="BI174" s="185"/>
      <c r="BJ174" s="182">
        <f t="shared" si="465"/>
        <v>9</v>
      </c>
      <c r="BK174" s="164" t="str">
        <f t="shared" si="445"/>
        <v>N/A</v>
      </c>
      <c r="BL174" s="185"/>
      <c r="BO174" s="167"/>
      <c r="BP174" s="167"/>
      <c r="BQ174" s="167"/>
      <c r="BR174" s="167">
        <f t="shared" si="396"/>
        <v>9</v>
      </c>
      <c r="BS174" s="167">
        <f t="shared" si="397"/>
        <v>9</v>
      </c>
      <c r="BT174" s="167">
        <f t="shared" si="398"/>
        <v>9</v>
      </c>
      <c r="BW174" s="167"/>
      <c r="BX174" s="167"/>
      <c r="BY174" s="167"/>
      <c r="BZ174" s="167"/>
      <c r="CA174" s="167"/>
      <c r="CB174" s="167"/>
    </row>
    <row r="175" spans="1:81" x14ac:dyDescent="0.25">
      <c r="A175" s="96">
        <v>167</v>
      </c>
      <c r="B175" s="137" t="str">
        <f>D175</f>
        <v>LE 03</v>
      </c>
      <c r="C175" s="137" t="str">
        <f>B175</f>
        <v>LE 03</v>
      </c>
      <c r="D175" s="946" t="s">
        <v>481</v>
      </c>
      <c r="E175" s="832" t="s">
        <v>471</v>
      </c>
      <c r="F175" s="933">
        <f>SUM(F176:F178)</f>
        <v>3</v>
      </c>
      <c r="G175" s="933">
        <f t="shared" ref="G175:R175" si="466">SUM(G176:G178)</f>
        <v>3</v>
      </c>
      <c r="H175" s="933">
        <f t="shared" si="466"/>
        <v>3</v>
      </c>
      <c r="I175" s="933">
        <f t="shared" si="466"/>
        <v>3</v>
      </c>
      <c r="J175" s="933">
        <f t="shared" si="466"/>
        <v>3</v>
      </c>
      <c r="K175" s="933">
        <f t="shared" si="466"/>
        <v>3</v>
      </c>
      <c r="L175" s="933">
        <f t="shared" si="466"/>
        <v>3</v>
      </c>
      <c r="M175" s="933">
        <f t="shared" si="466"/>
        <v>3</v>
      </c>
      <c r="N175" s="933">
        <f t="shared" si="466"/>
        <v>3</v>
      </c>
      <c r="O175" s="933">
        <f t="shared" si="466"/>
        <v>3</v>
      </c>
      <c r="P175" s="933">
        <f t="shared" si="466"/>
        <v>3</v>
      </c>
      <c r="Q175" s="933">
        <f t="shared" ref="Q175" si="467">SUM(Q176:Q178)</f>
        <v>3</v>
      </c>
      <c r="R175" s="933">
        <f t="shared" si="466"/>
        <v>3</v>
      </c>
      <c r="T175" s="963">
        <f t="shared" si="432"/>
        <v>3</v>
      </c>
      <c r="U175" s="222"/>
      <c r="V175" s="230"/>
      <c r="W175" s="230"/>
      <c r="X175" s="230">
        <f>'Manuell filtrering og justering'!E77</f>
        <v>0</v>
      </c>
      <c r="Y175" s="230"/>
      <c r="Z175" s="958">
        <f t="shared" ref="Z175" si="468">SUM(Z176:Z178)</f>
        <v>0</v>
      </c>
      <c r="AA175" s="963">
        <f t="shared" si="434"/>
        <v>0</v>
      </c>
      <c r="AB175" s="1067">
        <f>SUM(AB176:AB178)</f>
        <v>3</v>
      </c>
      <c r="AD175" s="171">
        <f t="shared" si="435"/>
        <v>2.368421052631579E-2</v>
      </c>
      <c r="AE175" s="921">
        <f>SUM(AE176:AE178)</f>
        <v>0</v>
      </c>
      <c r="AF175" s="921">
        <f t="shared" ref="AF175" si="469">SUM(AF176:AF178)</f>
        <v>0</v>
      </c>
      <c r="AG175" s="921">
        <f t="shared" ref="AG175" si="470">SUM(AG176:AG178)</f>
        <v>0</v>
      </c>
      <c r="AI175" s="958">
        <f t="shared" ref="AI175" si="471">SUM(AI176:AI178)</f>
        <v>0</v>
      </c>
      <c r="AJ175" s="958">
        <f t="shared" ref="AJ175" si="472">SUM(AJ176:AJ178)</f>
        <v>0</v>
      </c>
      <c r="AK175" s="958">
        <f t="shared" ref="AK175" si="473">SUM(AK176:AK178)</f>
        <v>0</v>
      </c>
      <c r="AM175" s="292"/>
      <c r="AN175" s="293"/>
      <c r="AO175" s="293"/>
      <c r="AP175" s="181"/>
      <c r="AQ175" s="186"/>
      <c r="AR175" s="139"/>
      <c r="AS175" s="291"/>
      <c r="AT175" s="181"/>
      <c r="AU175" s="181"/>
      <c r="AV175" s="181"/>
      <c r="AW175" s="186"/>
      <c r="AY175" s="188"/>
      <c r="AZ175" s="189"/>
      <c r="BA175" s="189"/>
      <c r="BB175" s="189"/>
      <c r="BC175" s="190"/>
      <c r="BD175" s="182">
        <f t="shared" si="463"/>
        <v>9</v>
      </c>
      <c r="BE175" s="164" t="str">
        <f t="shared" si="441"/>
        <v>N/A</v>
      </c>
      <c r="BF175" s="185"/>
      <c r="BG175" s="182">
        <f t="shared" si="464"/>
        <v>9</v>
      </c>
      <c r="BH175" s="164" t="str">
        <f t="shared" si="443"/>
        <v>N/A</v>
      </c>
      <c r="BI175" s="185"/>
      <c r="BJ175" s="182">
        <f t="shared" si="465"/>
        <v>9</v>
      </c>
      <c r="BK175" s="164" t="str">
        <f t="shared" si="445"/>
        <v>N/A</v>
      </c>
      <c r="BL175" s="185"/>
      <c r="BO175" s="167"/>
      <c r="BP175" s="167"/>
      <c r="BQ175" s="167" t="str">
        <f t="shared" si="342"/>
        <v/>
      </c>
      <c r="BR175" s="167">
        <f t="shared" si="396"/>
        <v>9</v>
      </c>
      <c r="BS175" s="167">
        <f t="shared" si="397"/>
        <v>9</v>
      </c>
      <c r="BT175" s="167">
        <f t="shared" si="398"/>
        <v>9</v>
      </c>
      <c r="BW175" s="167"/>
      <c r="BX175" s="167"/>
      <c r="BY175" s="167"/>
      <c r="BZ175" s="167"/>
      <c r="CA175" s="167"/>
      <c r="CB175" s="167"/>
    </row>
    <row r="176" spans="1:81" x14ac:dyDescent="0.25">
      <c r="A176" s="96">
        <v>168</v>
      </c>
      <c r="C176" s="96" t="str">
        <f t="shared" si="344"/>
        <v>LE 03</v>
      </c>
      <c r="D176" s="188" t="s">
        <v>694</v>
      </c>
      <c r="E176" s="940" t="s">
        <v>676</v>
      </c>
      <c r="F176" s="775"/>
      <c r="G176" s="775"/>
      <c r="H176" s="775"/>
      <c r="I176" s="775"/>
      <c r="J176" s="775"/>
      <c r="K176" s="775"/>
      <c r="L176" s="775"/>
      <c r="M176" s="775"/>
      <c r="N176" s="775"/>
      <c r="O176" s="775"/>
      <c r="P176" s="775"/>
      <c r="Q176" s="775"/>
      <c r="R176" s="775"/>
      <c r="T176" s="221">
        <f t="shared" si="432"/>
        <v>0</v>
      </c>
      <c r="U176" s="166"/>
      <c r="V176" s="167"/>
      <c r="W176" s="167"/>
      <c r="X176" s="167"/>
      <c r="Y176" s="168"/>
      <c r="Z176" s="168"/>
      <c r="AA176" s="169">
        <f t="shared" si="434"/>
        <v>0</v>
      </c>
      <c r="AB176" s="170">
        <f>IF($AC$5='Manuell filtrering og justering'!$J$2,Z176,(T176-AA176))</f>
        <v>0</v>
      </c>
      <c r="AD176" s="171">
        <f t="shared" si="435"/>
        <v>0</v>
      </c>
      <c r="AE176" s="171">
        <f t="shared" si="447"/>
        <v>0</v>
      </c>
      <c r="AF176" s="171">
        <f t="shared" si="448"/>
        <v>0</v>
      </c>
      <c r="AG176" s="171">
        <f t="shared" si="449"/>
        <v>0</v>
      </c>
      <c r="AI176" s="172"/>
      <c r="AJ176" s="172"/>
      <c r="AK176" s="172"/>
      <c r="AM176" s="292"/>
      <c r="AN176" s="293"/>
      <c r="AO176" s="293"/>
      <c r="AP176" s="181"/>
      <c r="AQ176" s="186"/>
      <c r="AR176" s="139"/>
      <c r="AS176" s="291"/>
      <c r="AT176" s="181"/>
      <c r="AU176" s="181"/>
      <c r="AV176" s="181"/>
      <c r="AW176" s="186"/>
      <c r="AY176" s="188"/>
      <c r="AZ176" s="189"/>
      <c r="BA176" s="189"/>
      <c r="BB176" s="189"/>
      <c r="BC176" s="190"/>
      <c r="BD176" s="182">
        <f t="shared" si="463"/>
        <v>9</v>
      </c>
      <c r="BE176" s="164" t="str">
        <f t="shared" si="441"/>
        <v>N/A</v>
      </c>
      <c r="BF176" s="185"/>
      <c r="BG176" s="182">
        <f t="shared" si="464"/>
        <v>9</v>
      </c>
      <c r="BH176" s="164" t="str">
        <f t="shared" si="443"/>
        <v>N/A</v>
      </c>
      <c r="BI176" s="185"/>
      <c r="BJ176" s="182">
        <f t="shared" si="465"/>
        <v>9</v>
      </c>
      <c r="BK176" s="164" t="str">
        <f t="shared" si="445"/>
        <v>N/A</v>
      </c>
      <c r="BL176" s="185"/>
      <c r="BO176" s="167"/>
      <c r="BP176" s="167"/>
      <c r="BQ176" s="167" t="str">
        <f t="shared" si="342"/>
        <v/>
      </c>
      <c r="BR176" s="167">
        <f t="shared" si="396"/>
        <v>9</v>
      </c>
      <c r="BS176" s="167">
        <f t="shared" si="397"/>
        <v>9</v>
      </c>
      <c r="BT176" s="167">
        <f t="shared" si="398"/>
        <v>9</v>
      </c>
      <c r="BW176" s="167"/>
      <c r="BX176" s="167"/>
      <c r="BY176" s="167"/>
      <c r="BZ176" s="167"/>
      <c r="CA176" s="167"/>
      <c r="CB176" s="167"/>
    </row>
    <row r="177" spans="1:81" x14ac:dyDescent="0.25">
      <c r="A177" s="96">
        <v>169</v>
      </c>
      <c r="B177" s="96" t="str">
        <f t="shared" ref="B177:B178" si="474">$D$175&amp;D177</f>
        <v>LE 03b</v>
      </c>
      <c r="C177" s="96" t="str">
        <f t="shared" si="344"/>
        <v>LE 03</v>
      </c>
      <c r="D177" s="188" t="s">
        <v>697</v>
      </c>
      <c r="E177" s="1250" t="s">
        <v>1063</v>
      </c>
      <c r="F177" s="775">
        <v>1</v>
      </c>
      <c r="G177" s="775">
        <v>1</v>
      </c>
      <c r="H177" s="775">
        <v>1</v>
      </c>
      <c r="I177" s="775">
        <v>1</v>
      </c>
      <c r="J177" s="775">
        <v>1</v>
      </c>
      <c r="K177" s="775">
        <v>1</v>
      </c>
      <c r="L177" s="775">
        <v>1</v>
      </c>
      <c r="M177" s="775">
        <v>1</v>
      </c>
      <c r="N177" s="775">
        <v>1</v>
      </c>
      <c r="O177" s="775">
        <v>1</v>
      </c>
      <c r="P177" s="775">
        <v>1</v>
      </c>
      <c r="Q177" s="775">
        <v>1</v>
      </c>
      <c r="R177" s="775">
        <v>1</v>
      </c>
      <c r="T177" s="221">
        <f t="shared" si="432"/>
        <v>1</v>
      </c>
      <c r="U177" s="166"/>
      <c r="V177" s="167"/>
      <c r="W177" s="167"/>
      <c r="X177" s="167"/>
      <c r="Y177" s="168"/>
      <c r="Z177" s="168">
        <f>VLOOKUP(B177,'Manuell filtrering og justering'!$A$7:$H$253,'Manuell filtrering og justering'!$H$1,FALSE)</f>
        <v>0</v>
      </c>
      <c r="AA177" s="169">
        <f t="shared" si="434"/>
        <v>0</v>
      </c>
      <c r="AB177" s="170">
        <f>IF($AC$5='Manuell filtrering og justering'!$J$2,Z177,(T177-AA177))</f>
        <v>1</v>
      </c>
      <c r="AD177" s="171">
        <f t="shared" si="435"/>
        <v>7.8947368421052634E-3</v>
      </c>
      <c r="AE177" s="171">
        <f t="shared" si="447"/>
        <v>0</v>
      </c>
      <c r="AF177" s="171">
        <f t="shared" si="448"/>
        <v>0</v>
      </c>
      <c r="AG177" s="171">
        <f t="shared" si="449"/>
        <v>0</v>
      </c>
      <c r="AI177" s="1068">
        <f>IF(AI243=AD_no,0,IF(VLOOKUP(E177,'Pre-Assessment Estimator'!$E$11:$Z$225,'Pre-Assessment Estimator'!$G$2,FALSE)&gt;AB177,AB177,VLOOKUP(E177,'Pre-Assessment Estimator'!$E$11:$Z$225,'Pre-Assessment Estimator'!$G$2,FALSE)))</f>
        <v>0</v>
      </c>
      <c r="AJ177" s="1068">
        <f>IF(AJ243=AD_no,0,IF(VLOOKUP(E177,'Pre-Assessment Estimator'!$E$11:$Z$225,'Pre-Assessment Estimator'!$N$2,FALSE)&gt;AB177,AB177,VLOOKUP(E177,'Pre-Assessment Estimator'!$E$11:$Z$225,'Pre-Assessment Estimator'!$N$2,FALSE)))</f>
        <v>0</v>
      </c>
      <c r="AK177" s="1068">
        <f>IF(AK243=AD_no,0,IF(VLOOKUP(E177,'Pre-Assessment Estimator'!$E$11:$Z$225,'Pre-Assessment Estimator'!$U$2,FALSE)&gt;AB177,AB177,VLOOKUP(E177,'Pre-Assessment Estimator'!$E$11:$Z$225,'Pre-Assessment Estimator'!$U$2,FALSE)))</f>
        <v>0</v>
      </c>
      <c r="AM177" s="292"/>
      <c r="AN177" s="293"/>
      <c r="AO177" s="293"/>
      <c r="AP177" s="181"/>
      <c r="AQ177" s="186"/>
      <c r="AR177" s="139"/>
      <c r="AS177" s="291"/>
      <c r="AT177" s="181"/>
      <c r="AU177" s="181"/>
      <c r="AV177" s="181"/>
      <c r="AW177" s="186"/>
      <c r="AY177" s="183"/>
      <c r="AZ177" s="183"/>
      <c r="BA177" s="183"/>
      <c r="BB177" s="183"/>
      <c r="BC177" s="183"/>
      <c r="BD177" s="182">
        <f t="shared" ref="BD177:BD178" si="475">IF(BC177=0,9,IF(AI177&gt;=BC177,5,IF(AI177&gt;=BB177,4,IF(AI177&gt;=BA177,3,IF(AI177&gt;=AZ177,2,IF(AI177&lt;AY177,0,1))))))</f>
        <v>9</v>
      </c>
      <c r="BE177" s="164" t="str">
        <f t="shared" si="441"/>
        <v>N/A</v>
      </c>
      <c r="BF177" s="185"/>
      <c r="BG177" s="182">
        <f t="shared" ref="BG177:BG178" si="476">IF(BC177=0,9,IF(AJ177&gt;=BC177,5,IF(AJ177&gt;=BB177,4,IF(AJ177&gt;=BA177,3,IF(AJ177&gt;=AZ177,2,IF(AJ177&lt;AY177,0,1))))))</f>
        <v>9</v>
      </c>
      <c r="BH177" s="164" t="str">
        <f t="shared" si="443"/>
        <v>N/A</v>
      </c>
      <c r="BI177" s="185"/>
      <c r="BJ177" s="182">
        <f t="shared" ref="BJ177:BJ178" si="477">IF(BC177=0,9,IF(AK177&gt;=BC177,5,IF(AK177&gt;=BB177,4,IF(AK177&gt;=BA177,3,IF(AK177&gt;=AZ177,2,IF(AK177&lt;AY177,0,1))))))</f>
        <v>9</v>
      </c>
      <c r="BK177" s="164" t="str">
        <f t="shared" si="445"/>
        <v>N/A</v>
      </c>
      <c r="BL177" s="185"/>
      <c r="BO177" s="167"/>
      <c r="BP177" s="167">
        <v>1</v>
      </c>
      <c r="BQ177" s="167">
        <f t="shared" si="342"/>
        <v>1</v>
      </c>
      <c r="BR177" s="167">
        <f t="shared" si="396"/>
        <v>0</v>
      </c>
      <c r="BS177" s="167">
        <f t="shared" si="397"/>
        <v>0</v>
      </c>
      <c r="BT177" s="167">
        <f t="shared" si="398"/>
        <v>0</v>
      </c>
      <c r="BW177" s="167"/>
      <c r="BX177" s="167"/>
      <c r="BY177" s="167"/>
      <c r="BZ177" s="167"/>
      <c r="CA177" s="167"/>
      <c r="CB177" s="167"/>
    </row>
    <row r="178" spans="1:81" x14ac:dyDescent="0.25">
      <c r="A178" s="96">
        <v>170</v>
      </c>
      <c r="B178" s="96" t="str">
        <f t="shared" si="474"/>
        <v>LE 03c</v>
      </c>
      <c r="C178" s="96" t="str">
        <f t="shared" si="344"/>
        <v>LE 03</v>
      </c>
      <c r="D178" s="188" t="s">
        <v>698</v>
      </c>
      <c r="E178" s="1250" t="s">
        <v>1064</v>
      </c>
      <c r="F178" s="775">
        <v>2</v>
      </c>
      <c r="G178" s="775">
        <v>2</v>
      </c>
      <c r="H178" s="775">
        <v>2</v>
      </c>
      <c r="I178" s="775">
        <v>2</v>
      </c>
      <c r="J178" s="775">
        <v>2</v>
      </c>
      <c r="K178" s="775">
        <v>2</v>
      </c>
      <c r="L178" s="775">
        <v>2</v>
      </c>
      <c r="M178" s="775">
        <v>2</v>
      </c>
      <c r="N178" s="775">
        <v>2</v>
      </c>
      <c r="O178" s="775">
        <v>2</v>
      </c>
      <c r="P178" s="775">
        <v>2</v>
      </c>
      <c r="Q178" s="775">
        <v>2</v>
      </c>
      <c r="R178" s="775">
        <v>2</v>
      </c>
      <c r="T178" s="221">
        <f t="shared" si="432"/>
        <v>2</v>
      </c>
      <c r="U178" s="166"/>
      <c r="V178" s="167"/>
      <c r="W178" s="167"/>
      <c r="X178" s="167"/>
      <c r="Y178" s="168"/>
      <c r="Z178" s="168">
        <f>VLOOKUP(B178,'Manuell filtrering og justering'!$A$7:$H$253,'Manuell filtrering og justering'!$H$1,FALSE)</f>
        <v>0</v>
      </c>
      <c r="AA178" s="169">
        <f t="shared" si="434"/>
        <v>0</v>
      </c>
      <c r="AB178" s="170">
        <f>IF($AC$5='Manuell filtrering og justering'!$J$2,Z178,(T178-AA178))</f>
        <v>2</v>
      </c>
      <c r="AD178" s="171">
        <f t="shared" si="435"/>
        <v>1.5789473684210527E-2</v>
      </c>
      <c r="AE178" s="171">
        <f t="shared" si="447"/>
        <v>0</v>
      </c>
      <c r="AF178" s="171">
        <f t="shared" si="448"/>
        <v>0</v>
      </c>
      <c r="AG178" s="171">
        <f t="shared" si="449"/>
        <v>0</v>
      </c>
      <c r="AI178" s="1068">
        <f>IF(AI243=AD_no,0,IF(VLOOKUP(E178,'Pre-Assessment Estimator'!$E$11:$Z$225,'Pre-Assessment Estimator'!$G$2,FALSE)&gt;AB178,AB178,VLOOKUP(E178,'Pre-Assessment Estimator'!$E$11:$Z$225,'Pre-Assessment Estimator'!$G$2,FALSE)))</f>
        <v>0</v>
      </c>
      <c r="AJ178" s="1068">
        <f>IF(AJ243=AD_no,0,IF(VLOOKUP(E178,'Pre-Assessment Estimator'!$E$11:$Z$225,'Pre-Assessment Estimator'!$N$2,FALSE)&gt;AB178,AB178,VLOOKUP(E178,'Pre-Assessment Estimator'!$E$11:$Z$225,'Pre-Assessment Estimator'!$N$2,FALSE)))</f>
        <v>0</v>
      </c>
      <c r="AK178" s="1068">
        <f>IF(AK243=AD_no,0,IF(VLOOKUP(E178,'Pre-Assessment Estimator'!$E$11:$Z$225,'Pre-Assessment Estimator'!$U$2,FALSE)&gt;AB178,AB178,VLOOKUP(E178,'Pre-Assessment Estimator'!$E$11:$Z$225,'Pre-Assessment Estimator'!$U$2,FALSE)))</f>
        <v>0</v>
      </c>
      <c r="AM178" s="292"/>
      <c r="AN178" s="293"/>
      <c r="AO178" s="293"/>
      <c r="AP178" s="181"/>
      <c r="AQ178" s="186"/>
      <c r="AR178" s="139"/>
      <c r="AS178" s="291"/>
      <c r="AT178" s="181"/>
      <c r="AU178" s="181"/>
      <c r="AV178" s="181"/>
      <c r="AW178" s="186"/>
      <c r="AY178" s="188"/>
      <c r="AZ178" s="189"/>
      <c r="BA178" s="189"/>
      <c r="BB178" s="189"/>
      <c r="BC178" s="190"/>
      <c r="BD178" s="182">
        <f t="shared" si="475"/>
        <v>9</v>
      </c>
      <c r="BE178" s="164" t="str">
        <f t="shared" si="441"/>
        <v>N/A</v>
      </c>
      <c r="BF178" s="185"/>
      <c r="BG178" s="182">
        <f t="shared" si="476"/>
        <v>9</v>
      </c>
      <c r="BH178" s="164" t="str">
        <f t="shared" si="443"/>
        <v>N/A</v>
      </c>
      <c r="BI178" s="185"/>
      <c r="BJ178" s="182">
        <f t="shared" si="477"/>
        <v>9</v>
      </c>
      <c r="BK178" s="164" t="str">
        <f t="shared" si="445"/>
        <v>N/A</v>
      </c>
      <c r="BL178" s="185"/>
      <c r="BO178" s="167"/>
      <c r="BP178" s="167">
        <v>1</v>
      </c>
      <c r="BQ178" s="167">
        <f t="shared" si="342"/>
        <v>1</v>
      </c>
      <c r="BR178" s="167">
        <f t="shared" si="396"/>
        <v>0</v>
      </c>
      <c r="BS178" s="167">
        <f t="shared" si="397"/>
        <v>0</v>
      </c>
      <c r="BT178" s="167">
        <f t="shared" si="398"/>
        <v>0</v>
      </c>
      <c r="BW178" s="167"/>
      <c r="BX178" s="167"/>
      <c r="BY178" s="167"/>
      <c r="BZ178" s="167"/>
      <c r="CA178" s="167"/>
      <c r="CB178" s="167"/>
    </row>
    <row r="179" spans="1:81" x14ac:dyDescent="0.25">
      <c r="A179" s="96">
        <v>171</v>
      </c>
      <c r="B179" s="137" t="str">
        <f>D179</f>
        <v>LE 04</v>
      </c>
      <c r="C179" s="137" t="str">
        <f>B179</f>
        <v>LE 04</v>
      </c>
      <c r="D179" s="946" t="s">
        <v>183</v>
      </c>
      <c r="E179" s="832" t="s">
        <v>472</v>
      </c>
      <c r="F179" s="933">
        <f>SUM(F180:F182)</f>
        <v>4</v>
      </c>
      <c r="G179" s="933">
        <f t="shared" ref="G179:R179" si="478">SUM(G180:G182)</f>
        <v>4</v>
      </c>
      <c r="H179" s="933">
        <f t="shared" si="478"/>
        <v>4</v>
      </c>
      <c r="I179" s="933">
        <f t="shared" si="478"/>
        <v>4</v>
      </c>
      <c r="J179" s="933">
        <f t="shared" si="478"/>
        <v>4</v>
      </c>
      <c r="K179" s="933">
        <f t="shared" si="478"/>
        <v>4</v>
      </c>
      <c r="L179" s="933">
        <f t="shared" si="478"/>
        <v>4</v>
      </c>
      <c r="M179" s="933">
        <f t="shared" si="478"/>
        <v>4</v>
      </c>
      <c r="N179" s="933">
        <f t="shared" si="478"/>
        <v>4</v>
      </c>
      <c r="O179" s="933">
        <f t="shared" si="478"/>
        <v>4</v>
      </c>
      <c r="P179" s="933">
        <f t="shared" si="478"/>
        <v>4</v>
      </c>
      <c r="Q179" s="933">
        <f t="shared" ref="Q179" si="479">SUM(Q180:Q182)</f>
        <v>4</v>
      </c>
      <c r="R179" s="933">
        <f t="shared" si="478"/>
        <v>4</v>
      </c>
      <c r="T179" s="963">
        <f t="shared" si="432"/>
        <v>4</v>
      </c>
      <c r="U179" s="222"/>
      <c r="V179" s="230"/>
      <c r="W179" s="230"/>
      <c r="X179" s="230">
        <f>'Manuell filtrering og justering'!E78</f>
        <v>0</v>
      </c>
      <c r="Y179" s="230"/>
      <c r="Z179" s="958">
        <f t="shared" ref="Z179" si="480">SUM(Z180:Z182)</f>
        <v>4</v>
      </c>
      <c r="AA179" s="963">
        <f t="shared" si="434"/>
        <v>0</v>
      </c>
      <c r="AB179" s="1067">
        <f>SUM(AB180:AB182)</f>
        <v>4</v>
      </c>
      <c r="AD179" s="171">
        <f t="shared" si="435"/>
        <v>3.1578947368421054E-2</v>
      </c>
      <c r="AE179" s="921">
        <f>SUM(AE180:AE182)</f>
        <v>0</v>
      </c>
      <c r="AF179" s="921">
        <f t="shared" ref="AF179" si="481">SUM(AF180:AF182)</f>
        <v>0</v>
      </c>
      <c r="AG179" s="921">
        <f t="shared" ref="AG179" si="482">SUM(AG180:AG182)</f>
        <v>0</v>
      </c>
      <c r="AI179" s="958">
        <f t="shared" ref="AI179" si="483">SUM(AI180:AI182)</f>
        <v>0</v>
      </c>
      <c r="AJ179" s="958">
        <f t="shared" ref="AJ179" si="484">SUM(AJ180:AJ182)</f>
        <v>0</v>
      </c>
      <c r="AK179" s="958">
        <f t="shared" ref="AK179" si="485">SUM(AK180:AK182)</f>
        <v>0</v>
      </c>
      <c r="AM179" s="292"/>
      <c r="AN179" s="293"/>
      <c r="AO179" s="293"/>
      <c r="AP179" s="181"/>
      <c r="AQ179" s="186"/>
      <c r="AR179" s="139"/>
      <c r="AS179" s="291"/>
      <c r="AT179" s="181"/>
      <c r="AU179" s="181"/>
      <c r="AV179" s="181"/>
      <c r="AW179" s="186"/>
      <c r="AY179" s="188"/>
      <c r="AZ179" s="189"/>
      <c r="BA179" s="189"/>
      <c r="BB179" s="189"/>
      <c r="BC179" s="190"/>
      <c r="BD179" s="182">
        <f t="shared" si="463"/>
        <v>9</v>
      </c>
      <c r="BE179" s="164" t="str">
        <f t="shared" si="441"/>
        <v>N/A</v>
      </c>
      <c r="BF179" s="185"/>
      <c r="BG179" s="182">
        <f t="shared" si="464"/>
        <v>9</v>
      </c>
      <c r="BH179" s="164" t="str">
        <f t="shared" si="443"/>
        <v>N/A</v>
      </c>
      <c r="BI179" s="185"/>
      <c r="BJ179" s="182">
        <f t="shared" si="465"/>
        <v>9</v>
      </c>
      <c r="BK179" s="164" t="str">
        <f t="shared" si="445"/>
        <v>N/A</v>
      </c>
      <c r="BL179" s="185"/>
      <c r="BO179" s="167"/>
      <c r="BP179" s="167"/>
      <c r="BQ179" s="167" t="str">
        <f t="shared" si="342"/>
        <v/>
      </c>
      <c r="BR179" s="167">
        <f t="shared" si="396"/>
        <v>9</v>
      </c>
      <c r="BS179" s="167">
        <f t="shared" si="397"/>
        <v>9</v>
      </c>
      <c r="BT179" s="167">
        <f t="shared" si="398"/>
        <v>9</v>
      </c>
      <c r="BW179" s="167" t="str">
        <f>D179</f>
        <v>LE 04</v>
      </c>
      <c r="BX179" s="167" t="str">
        <f>IFERROR(VLOOKUP($E179,'Pre-Assessment Estimator'!$E$11:$AB$225,'Pre-Assessment Estimator'!AB$2,FALSE),"")</f>
        <v>N/A</v>
      </c>
      <c r="BY179" s="167">
        <f>IFERROR(VLOOKUP($E179,'Pre-Assessment Estimator'!$E$11:$AI$225,'Pre-Assessment Estimator'!AI$2,FALSE),"")</f>
        <v>0</v>
      </c>
      <c r="BZ179" s="167">
        <f>IFERROR(VLOOKUP($BX179,$E$292:$H$325,F$290,FALSE),"")</f>
        <v>1</v>
      </c>
      <c r="CA179" s="167">
        <f>IFERROR(VLOOKUP($BX179,$E$292:$H$325,G$290,FALSE),"")</f>
        <v>0</v>
      </c>
      <c r="CB179" s="167"/>
      <c r="CC179" s="96" t="str">
        <f>IFERROR(VLOOKUP($BX179,$E$292:$H$325,I$290,FALSE),"")</f>
        <v/>
      </c>
    </row>
    <row r="180" spans="1:81" x14ac:dyDescent="0.25">
      <c r="A180" s="96">
        <v>172</v>
      </c>
      <c r="C180" s="96" t="str">
        <f t="shared" si="344"/>
        <v>LE 04</v>
      </c>
      <c r="D180" s="188" t="s">
        <v>694</v>
      </c>
      <c r="E180" s="940" t="s">
        <v>991</v>
      </c>
      <c r="F180" s="775"/>
      <c r="G180" s="775"/>
      <c r="H180" s="775"/>
      <c r="I180" s="775"/>
      <c r="J180" s="775"/>
      <c r="K180" s="775"/>
      <c r="L180" s="775"/>
      <c r="M180" s="775"/>
      <c r="N180" s="775"/>
      <c r="O180" s="775"/>
      <c r="P180" s="775"/>
      <c r="Q180" s="775"/>
      <c r="R180" s="775"/>
      <c r="T180" s="221">
        <f t="shared" si="432"/>
        <v>0</v>
      </c>
      <c r="U180" s="166"/>
      <c r="V180" s="167"/>
      <c r="W180" s="167"/>
      <c r="X180" s="167"/>
      <c r="Y180" s="168"/>
      <c r="Z180" s="168"/>
      <c r="AA180" s="169">
        <f t="shared" si="434"/>
        <v>0</v>
      </c>
      <c r="AB180" s="170">
        <f>IF($AC$5='Manuell filtrering og justering'!$J$2,Z180,(T180-AA180))</f>
        <v>0</v>
      </c>
      <c r="AD180" s="171">
        <f t="shared" si="435"/>
        <v>0</v>
      </c>
      <c r="AE180" s="171">
        <f t="shared" si="447"/>
        <v>0</v>
      </c>
      <c r="AF180" s="171">
        <f t="shared" si="448"/>
        <v>0</v>
      </c>
      <c r="AG180" s="171">
        <f t="shared" si="449"/>
        <v>0</v>
      </c>
      <c r="AI180" s="172">
        <f>IF(VLOOKUP(E180,'Pre-Assessment Estimator'!$E$11:$Z$225,'Pre-Assessment Estimator'!$G$2,FALSE)&gt;AB180,AB180,VLOOKUP(E180,'Pre-Assessment Estimator'!$E$11:$Z$225,'Pre-Assessment Estimator'!$G$2,FALSE))</f>
        <v>0</v>
      </c>
      <c r="AJ180" s="172">
        <f>IF(VLOOKUP(E180,'Pre-Assessment Estimator'!$E$11:$Z$225,'Pre-Assessment Estimator'!$N$2,FALSE)&gt;AB180,AB180,VLOOKUP(E180,'Pre-Assessment Estimator'!$E$11:$Z$225,'Pre-Assessment Estimator'!$N$2,FALSE))</f>
        <v>0</v>
      </c>
      <c r="AK180" s="172">
        <f>IF(VLOOKUP(E180,'Pre-Assessment Estimator'!$E$11:$Z$225,'Pre-Assessment Estimator'!$U$2,FALSE)&gt;AB180,AB180,VLOOKUP(E180,'Pre-Assessment Estimator'!$E$11:$Z$225,'Pre-Assessment Estimator'!$U$2,FALSE))</f>
        <v>0</v>
      </c>
      <c r="AM180" s="292"/>
      <c r="AN180" s="293"/>
      <c r="AO180" s="293"/>
      <c r="AP180" s="181"/>
      <c r="AQ180" s="186"/>
      <c r="AR180" s="139"/>
      <c r="AS180" s="291"/>
      <c r="AT180" s="181"/>
      <c r="AU180" s="181"/>
      <c r="AV180" s="181"/>
      <c r="AW180" s="186"/>
      <c r="AY180" s="188"/>
      <c r="AZ180" s="189"/>
      <c r="BA180" s="189"/>
      <c r="BB180" s="189"/>
      <c r="BC180" s="190"/>
      <c r="BD180" s="182">
        <f t="shared" si="463"/>
        <v>9</v>
      </c>
      <c r="BE180" s="164" t="str">
        <f t="shared" si="441"/>
        <v>N/A</v>
      </c>
      <c r="BF180" s="185"/>
      <c r="BG180" s="182">
        <f t="shared" si="464"/>
        <v>9</v>
      </c>
      <c r="BH180" s="164" t="str">
        <f t="shared" si="443"/>
        <v>N/A</v>
      </c>
      <c r="BI180" s="185"/>
      <c r="BJ180" s="182">
        <f t="shared" si="465"/>
        <v>9</v>
      </c>
      <c r="BK180" s="164" t="str">
        <f t="shared" si="445"/>
        <v>N/A</v>
      </c>
      <c r="BL180" s="185"/>
      <c r="BO180" s="167"/>
      <c r="BP180" s="167"/>
      <c r="BQ180" s="167" t="str">
        <f t="shared" si="342"/>
        <v/>
      </c>
      <c r="BR180" s="167">
        <f t="shared" si="396"/>
        <v>9</v>
      </c>
      <c r="BS180" s="167">
        <f t="shared" si="397"/>
        <v>9</v>
      </c>
      <c r="BT180" s="167">
        <f t="shared" si="398"/>
        <v>9</v>
      </c>
      <c r="BW180" s="167"/>
      <c r="BX180" s="167"/>
      <c r="BY180" s="167"/>
      <c r="BZ180" s="167"/>
      <c r="CA180" s="167"/>
      <c r="CB180" s="167"/>
    </row>
    <row r="181" spans="1:81" x14ac:dyDescent="0.25">
      <c r="A181" s="96">
        <v>173</v>
      </c>
      <c r="B181" s="96" t="str">
        <f t="shared" ref="B181:B182" si="486">$D$179&amp;D181</f>
        <v>LE 04b</v>
      </c>
      <c r="C181" s="96" t="str">
        <f t="shared" si="344"/>
        <v>LE 04</v>
      </c>
      <c r="D181" s="188" t="s">
        <v>697</v>
      </c>
      <c r="E181" s="1108" t="s">
        <v>680</v>
      </c>
      <c r="F181" s="775">
        <v>1</v>
      </c>
      <c r="G181" s="775">
        <v>1</v>
      </c>
      <c r="H181" s="775">
        <v>1</v>
      </c>
      <c r="I181" s="775">
        <v>1</v>
      </c>
      <c r="J181" s="775">
        <v>1</v>
      </c>
      <c r="K181" s="775">
        <v>1</v>
      </c>
      <c r="L181" s="775">
        <v>1</v>
      </c>
      <c r="M181" s="775">
        <v>1</v>
      </c>
      <c r="N181" s="775">
        <v>1</v>
      </c>
      <c r="O181" s="775">
        <v>1</v>
      </c>
      <c r="P181" s="775">
        <v>1</v>
      </c>
      <c r="Q181" s="775">
        <v>1</v>
      </c>
      <c r="R181" s="775">
        <v>1</v>
      </c>
      <c r="T181" s="221">
        <f t="shared" si="432"/>
        <v>1</v>
      </c>
      <c r="U181" s="166"/>
      <c r="V181" s="167"/>
      <c r="W181" s="167"/>
      <c r="X181" s="167"/>
      <c r="Y181" s="168"/>
      <c r="Z181" s="168">
        <f>VLOOKUP(B181,'Manuell filtrering og justering'!$A$7:$H$253,'Manuell filtrering og justering'!$H$1,FALSE)</f>
        <v>1</v>
      </c>
      <c r="AA181" s="169">
        <f t="shared" si="434"/>
        <v>0</v>
      </c>
      <c r="AB181" s="170">
        <f>IF($AC$5='Manuell filtrering og justering'!$J$2,Z181,(T181-AA181))</f>
        <v>1</v>
      </c>
      <c r="AD181" s="171">
        <f t="shared" si="435"/>
        <v>7.8947368421052634E-3</v>
      </c>
      <c r="AE181" s="171">
        <f t="shared" si="447"/>
        <v>0</v>
      </c>
      <c r="AF181" s="171">
        <f t="shared" si="448"/>
        <v>0</v>
      </c>
      <c r="AG181" s="171">
        <f t="shared" si="449"/>
        <v>0</v>
      </c>
      <c r="AI181" s="1068">
        <f>IF(AI244=AD_no,0,IF(VLOOKUP(E181,'Pre-Assessment Estimator'!$E$11:$Z$225,'Pre-Assessment Estimator'!$G$2,FALSE)&gt;AB181,AB181,VLOOKUP(E181,'Pre-Assessment Estimator'!$E$11:$Z$225,'Pre-Assessment Estimator'!$G$2,FALSE)))</f>
        <v>0</v>
      </c>
      <c r="AJ181" s="1068">
        <f>IF(AJ244=AD_no,0,IF(VLOOKUP(E181,'Pre-Assessment Estimator'!$E$11:$Z$225,'Pre-Assessment Estimator'!$N$2,FALSE)&gt;AB181,AB181,VLOOKUP(E181,'Pre-Assessment Estimator'!$E$11:$Z$225,'Pre-Assessment Estimator'!$N$2,FALSE)))</f>
        <v>0</v>
      </c>
      <c r="AK181" s="1068">
        <f>IF(AK244=AD_no,0,IF(VLOOKUP(E181,'Pre-Assessment Estimator'!$E$11:$Z$225,'Pre-Assessment Estimator'!$U$2,FALSE)&gt;AB181,AB181,VLOOKUP(E181,'Pre-Assessment Estimator'!$E$11:$Z$225,'Pre-Assessment Estimator'!$U$2,FALSE)))</f>
        <v>0</v>
      </c>
      <c r="AM181" s="292"/>
      <c r="AN181" s="293"/>
      <c r="AO181" s="293"/>
      <c r="AP181" s="181"/>
      <c r="AQ181" s="186">
        <v>1</v>
      </c>
      <c r="AR181" s="139"/>
      <c r="AS181" s="291"/>
      <c r="AT181" s="181"/>
      <c r="AU181" s="181"/>
      <c r="AV181" s="181"/>
      <c r="AW181" s="186">
        <v>1</v>
      </c>
      <c r="AY181" s="188"/>
      <c r="AZ181" s="189"/>
      <c r="BA181" s="189"/>
      <c r="BB181" s="189"/>
      <c r="BC181" s="183">
        <f>IF($AB181=0,0,IF($E$6=$H$9,AW181,AQ181))</f>
        <v>1</v>
      </c>
      <c r="BD181" s="182">
        <f t="shared" si="463"/>
        <v>4</v>
      </c>
      <c r="BE181" s="164" t="str">
        <f t="shared" si="441"/>
        <v>Excellent</v>
      </c>
      <c r="BF181" s="185"/>
      <c r="BG181" s="182">
        <f t="shared" si="464"/>
        <v>4</v>
      </c>
      <c r="BH181" s="164" t="str">
        <f t="shared" si="443"/>
        <v>Excellent</v>
      </c>
      <c r="BI181" s="185"/>
      <c r="BJ181" s="182">
        <f t="shared" si="465"/>
        <v>4</v>
      </c>
      <c r="BK181" s="164" t="str">
        <f t="shared" si="445"/>
        <v>Excellent</v>
      </c>
      <c r="BL181" s="185"/>
      <c r="BO181" s="167"/>
      <c r="BP181" s="167"/>
      <c r="BQ181" s="167" t="str">
        <f t="shared" si="342"/>
        <v/>
      </c>
      <c r="BR181" s="167">
        <f t="shared" si="396"/>
        <v>9</v>
      </c>
      <c r="BS181" s="167">
        <f t="shared" si="397"/>
        <v>9</v>
      </c>
      <c r="BT181" s="167">
        <f t="shared" si="398"/>
        <v>9</v>
      </c>
      <c r="BW181" s="167"/>
      <c r="BX181" s="167"/>
      <c r="BY181" s="167"/>
      <c r="BZ181" s="167"/>
      <c r="CA181" s="167"/>
      <c r="CB181" s="167"/>
    </row>
    <row r="182" spans="1:81" x14ac:dyDescent="0.25">
      <c r="A182" s="96">
        <v>174</v>
      </c>
      <c r="B182" s="96" t="str">
        <f t="shared" si="486"/>
        <v>LE 04c</v>
      </c>
      <c r="C182" s="96" t="str">
        <f t="shared" si="344"/>
        <v>LE 04</v>
      </c>
      <c r="D182" s="188" t="s">
        <v>698</v>
      </c>
      <c r="E182" s="1108" t="s">
        <v>681</v>
      </c>
      <c r="F182" s="775">
        <v>3</v>
      </c>
      <c r="G182" s="775">
        <v>3</v>
      </c>
      <c r="H182" s="775">
        <v>3</v>
      </c>
      <c r="I182" s="775">
        <v>3</v>
      </c>
      <c r="J182" s="775">
        <v>3</v>
      </c>
      <c r="K182" s="775">
        <v>3</v>
      </c>
      <c r="L182" s="775">
        <v>3</v>
      </c>
      <c r="M182" s="775">
        <v>3</v>
      </c>
      <c r="N182" s="775">
        <v>3</v>
      </c>
      <c r="O182" s="775">
        <v>3</v>
      </c>
      <c r="P182" s="775">
        <v>3</v>
      </c>
      <c r="Q182" s="775">
        <v>3</v>
      </c>
      <c r="R182" s="775">
        <v>3</v>
      </c>
      <c r="T182" s="221">
        <f t="shared" si="432"/>
        <v>3</v>
      </c>
      <c r="U182" s="166"/>
      <c r="V182" s="167"/>
      <c r="W182" s="167"/>
      <c r="X182" s="167"/>
      <c r="Y182" s="168"/>
      <c r="Z182" s="168">
        <f>VLOOKUP(B182,'Manuell filtrering og justering'!$A$7:$H$253,'Manuell filtrering og justering'!$H$1,FALSE)</f>
        <v>3</v>
      </c>
      <c r="AA182" s="169">
        <f t="shared" si="434"/>
        <v>0</v>
      </c>
      <c r="AB182" s="170">
        <f>IF($AC$5='Manuell filtrering og justering'!$J$2,Z182,(T182-AA182))</f>
        <v>3</v>
      </c>
      <c r="AD182" s="171">
        <f t="shared" si="435"/>
        <v>2.368421052631579E-2</v>
      </c>
      <c r="AE182" s="171">
        <f t="shared" si="447"/>
        <v>0</v>
      </c>
      <c r="AF182" s="171">
        <f t="shared" si="448"/>
        <v>0</v>
      </c>
      <c r="AG182" s="171">
        <f t="shared" si="449"/>
        <v>0</v>
      </c>
      <c r="AI182" s="1068">
        <f>IF(AI244=AD_no,0,IF(VLOOKUP(E182,'Pre-Assessment Estimator'!$E$11:$Z$225,'Pre-Assessment Estimator'!$G$2,FALSE)&gt;AB182,AB182,VLOOKUP(E182,'Pre-Assessment Estimator'!$E$11:$Z$225,'Pre-Assessment Estimator'!$G$2,FALSE)))</f>
        <v>0</v>
      </c>
      <c r="AJ182" s="1068">
        <f>IF(AJ244=AD_no,0,IF(VLOOKUP(E182,'Pre-Assessment Estimator'!$E$11:$Z$225,'Pre-Assessment Estimator'!$N$2,FALSE)&gt;AB182,AB182,VLOOKUP(E182,'Pre-Assessment Estimator'!$E$11:$Z$225,'Pre-Assessment Estimator'!$N$2,FALSE)))</f>
        <v>0</v>
      </c>
      <c r="AK182" s="1068">
        <f>IF(AK244=AD_no,0,IF(VLOOKUP(E182,'Pre-Assessment Estimator'!$E$11:$Z$225,'Pre-Assessment Estimator'!$U$2,FALSE)&gt;AB182,AB182,VLOOKUP(E182,'Pre-Assessment Estimator'!$E$11:$Z$225,'Pre-Assessment Estimator'!$U$2,FALSE)))</f>
        <v>0</v>
      </c>
      <c r="AM182" s="292"/>
      <c r="AN182" s="293"/>
      <c r="AO182" s="293"/>
      <c r="AP182" s="181"/>
      <c r="AQ182" s="186"/>
      <c r="AR182" s="139"/>
      <c r="AS182" s="291"/>
      <c r="AT182" s="181"/>
      <c r="AU182" s="181"/>
      <c r="AV182" s="181"/>
      <c r="AW182" s="186"/>
      <c r="AY182" s="188"/>
      <c r="AZ182" s="189"/>
      <c r="BA182" s="189"/>
      <c r="BB182" s="189"/>
      <c r="BC182" s="190"/>
      <c r="BD182" s="182">
        <f t="shared" si="463"/>
        <v>9</v>
      </c>
      <c r="BE182" s="164" t="str">
        <f t="shared" si="441"/>
        <v>N/A</v>
      </c>
      <c r="BF182" s="185"/>
      <c r="BG182" s="182">
        <f t="shared" si="464"/>
        <v>9</v>
      </c>
      <c r="BH182" s="164" t="str">
        <f t="shared" si="443"/>
        <v>N/A</v>
      </c>
      <c r="BI182" s="185"/>
      <c r="BJ182" s="182">
        <f t="shared" si="465"/>
        <v>9</v>
      </c>
      <c r="BK182" s="164" t="str">
        <f t="shared" si="445"/>
        <v>N/A</v>
      </c>
      <c r="BL182" s="185"/>
      <c r="BO182" s="167"/>
      <c r="BP182" s="167"/>
      <c r="BQ182" s="167" t="str">
        <f t="shared" si="342"/>
        <v/>
      </c>
      <c r="BR182" s="167">
        <f t="shared" si="396"/>
        <v>9</v>
      </c>
      <c r="BS182" s="167">
        <f t="shared" si="397"/>
        <v>9</v>
      </c>
      <c r="BT182" s="167">
        <f t="shared" si="398"/>
        <v>9</v>
      </c>
      <c r="BW182" s="167"/>
      <c r="BX182" s="167"/>
      <c r="BY182" s="167"/>
      <c r="BZ182" s="167"/>
      <c r="CA182" s="167"/>
      <c r="CB182" s="167"/>
    </row>
    <row r="183" spans="1:81" x14ac:dyDescent="0.25">
      <c r="A183" s="96">
        <v>175</v>
      </c>
      <c r="B183" s="137" t="str">
        <f>D183</f>
        <v>LE 05</v>
      </c>
      <c r="C183" s="137" t="str">
        <f>B183</f>
        <v>LE 05</v>
      </c>
      <c r="D183" s="946" t="s">
        <v>184</v>
      </c>
      <c r="E183" s="832" t="s">
        <v>473</v>
      </c>
      <c r="F183" s="933">
        <f>SUM(F184:F186)</f>
        <v>2</v>
      </c>
      <c r="G183" s="933">
        <f t="shared" ref="G183:R183" si="487">SUM(G184:G186)</f>
        <v>2</v>
      </c>
      <c r="H183" s="933">
        <f t="shared" si="487"/>
        <v>2</v>
      </c>
      <c r="I183" s="933">
        <f t="shared" si="487"/>
        <v>2</v>
      </c>
      <c r="J183" s="933">
        <f t="shared" si="487"/>
        <v>2</v>
      </c>
      <c r="K183" s="933">
        <f t="shared" si="487"/>
        <v>2</v>
      </c>
      <c r="L183" s="933">
        <f t="shared" si="487"/>
        <v>2</v>
      </c>
      <c r="M183" s="933">
        <f t="shared" si="487"/>
        <v>2</v>
      </c>
      <c r="N183" s="933">
        <f t="shared" si="487"/>
        <v>2</v>
      </c>
      <c r="O183" s="933">
        <f t="shared" si="487"/>
        <v>2</v>
      </c>
      <c r="P183" s="933">
        <f t="shared" si="487"/>
        <v>2</v>
      </c>
      <c r="Q183" s="933">
        <f t="shared" ref="Q183" si="488">SUM(Q184:Q186)</f>
        <v>2</v>
      </c>
      <c r="R183" s="933">
        <f t="shared" si="487"/>
        <v>2</v>
      </c>
      <c r="T183" s="963">
        <f t="shared" si="432"/>
        <v>2</v>
      </c>
      <c r="U183" s="222"/>
      <c r="V183" s="230"/>
      <c r="W183" s="230"/>
      <c r="X183" s="230">
        <f>'Manuell filtrering og justering'!E79</f>
        <v>0</v>
      </c>
      <c r="Y183" s="230"/>
      <c r="Z183" s="958">
        <f t="shared" ref="Z183" si="489">SUM(Z184:Z186)</f>
        <v>2</v>
      </c>
      <c r="AA183" s="963">
        <f t="shared" si="434"/>
        <v>0</v>
      </c>
      <c r="AB183" s="1067">
        <f>SUM(AB184:AB186)</f>
        <v>2</v>
      </c>
      <c r="AD183" s="171">
        <f t="shared" si="435"/>
        <v>1.5789473684210527E-2</v>
      </c>
      <c r="AE183" s="921">
        <f>SUM(AE184:AE186)</f>
        <v>0</v>
      </c>
      <c r="AF183" s="921">
        <f t="shared" ref="AF183" si="490">SUM(AF184:AF186)</f>
        <v>0</v>
      </c>
      <c r="AG183" s="921">
        <f t="shared" ref="AG183" si="491">SUM(AG184:AG186)</f>
        <v>0</v>
      </c>
      <c r="AI183" s="958">
        <f t="shared" ref="AI183" si="492">SUM(AI184:AI186)</f>
        <v>0</v>
      </c>
      <c r="AJ183" s="958">
        <f t="shared" ref="AJ183" si="493">SUM(AJ184:AJ186)</f>
        <v>0</v>
      </c>
      <c r="AK183" s="958">
        <f t="shared" ref="AK183" si="494">SUM(AK184:AK186)</f>
        <v>0</v>
      </c>
      <c r="AM183" s="292"/>
      <c r="AN183" s="293"/>
      <c r="AO183" s="293"/>
      <c r="AP183" s="181"/>
      <c r="AQ183" s="186"/>
      <c r="AR183" s="139"/>
      <c r="AS183" s="291"/>
      <c r="AT183" s="181"/>
      <c r="AU183" s="181"/>
      <c r="AV183" s="181"/>
      <c r="AW183" s="186"/>
      <c r="AY183" s="188"/>
      <c r="AZ183" s="189"/>
      <c r="BA183" s="189"/>
      <c r="BB183" s="189"/>
      <c r="BC183" s="190"/>
      <c r="BD183" s="182">
        <f t="shared" si="463"/>
        <v>9</v>
      </c>
      <c r="BE183" s="164" t="str">
        <f t="shared" si="441"/>
        <v>N/A</v>
      </c>
      <c r="BF183" s="185"/>
      <c r="BG183" s="182">
        <f t="shared" si="464"/>
        <v>9</v>
      </c>
      <c r="BH183" s="164" t="str">
        <f t="shared" si="443"/>
        <v>N/A</v>
      </c>
      <c r="BI183" s="185"/>
      <c r="BJ183" s="182">
        <f t="shared" si="465"/>
        <v>9</v>
      </c>
      <c r="BK183" s="164" t="str">
        <f t="shared" si="445"/>
        <v>N/A</v>
      </c>
      <c r="BL183" s="185"/>
      <c r="BO183" s="167"/>
      <c r="BP183" s="167"/>
      <c r="BQ183" s="167" t="str">
        <f t="shared" si="342"/>
        <v/>
      </c>
      <c r="BR183" s="167">
        <f t="shared" si="396"/>
        <v>9</v>
      </c>
      <c r="BS183" s="167">
        <f t="shared" si="397"/>
        <v>9</v>
      </c>
      <c r="BT183" s="167">
        <f t="shared" si="398"/>
        <v>9</v>
      </c>
      <c r="BW183" s="167" t="str">
        <f>D183</f>
        <v>LE 05</v>
      </c>
      <c r="BX183" s="167" t="str">
        <f>IFERROR(VLOOKUP($E183,'Pre-Assessment Estimator'!$E$11:$AB$225,'Pre-Assessment Estimator'!AB$2,FALSE),"")</f>
        <v>N/A</v>
      </c>
      <c r="BY183" s="167">
        <f>IFERROR(VLOOKUP($E183,'Pre-Assessment Estimator'!$E$11:$AI$225,'Pre-Assessment Estimator'!AI$2,FALSE),"")</f>
        <v>0</v>
      </c>
      <c r="BZ183" s="167">
        <f>IFERROR(VLOOKUP($BX183,$E$292:$H$325,F$290,FALSE),"")</f>
        <v>1</v>
      </c>
      <c r="CA183" s="167">
        <f>IFERROR(VLOOKUP($BX183,$E$292:$H$325,G$290,FALSE),"")</f>
        <v>0</v>
      </c>
      <c r="CB183" s="167"/>
      <c r="CC183" s="96" t="str">
        <f>IFERROR(VLOOKUP($BX183,$E$292:$H$325,I$290,FALSE),"")</f>
        <v/>
      </c>
    </row>
    <row r="184" spans="1:81" x14ac:dyDescent="0.25">
      <c r="A184" s="96">
        <v>176</v>
      </c>
      <c r="C184" s="96" t="str">
        <f t="shared" si="344"/>
        <v>LE 05</v>
      </c>
      <c r="D184" s="188" t="s">
        <v>694</v>
      </c>
      <c r="E184" s="940" t="s">
        <v>682</v>
      </c>
      <c r="F184" s="775"/>
      <c r="G184" s="775"/>
      <c r="H184" s="775"/>
      <c r="I184" s="775"/>
      <c r="J184" s="775"/>
      <c r="K184" s="775"/>
      <c r="L184" s="775"/>
      <c r="M184" s="775"/>
      <c r="N184" s="775"/>
      <c r="O184" s="775"/>
      <c r="P184" s="775"/>
      <c r="Q184" s="775"/>
      <c r="R184" s="775"/>
      <c r="T184" s="221">
        <f t="shared" si="432"/>
        <v>0</v>
      </c>
      <c r="U184" s="166"/>
      <c r="V184" s="167"/>
      <c r="W184" s="167"/>
      <c r="X184" s="167"/>
      <c r="Y184" s="168"/>
      <c r="Z184" s="168"/>
      <c r="AA184" s="169">
        <f t="shared" si="434"/>
        <v>0</v>
      </c>
      <c r="AB184" s="170">
        <f>IF($AC$5='Manuell filtrering og justering'!$J$2,Z184,(T184-AA184))</f>
        <v>0</v>
      </c>
      <c r="AD184" s="171">
        <f t="shared" si="435"/>
        <v>0</v>
      </c>
      <c r="AE184" s="171">
        <f t="shared" si="447"/>
        <v>0</v>
      </c>
      <c r="AF184" s="171">
        <f t="shared" si="448"/>
        <v>0</v>
      </c>
      <c r="AG184" s="171">
        <f t="shared" si="449"/>
        <v>0</v>
      </c>
      <c r="AI184" s="172">
        <f>IF(VLOOKUP(E184,'Pre-Assessment Estimator'!$E$11:$Z$225,'Pre-Assessment Estimator'!$G$2,FALSE)&gt;AB184,AB184,VLOOKUP(E184,'Pre-Assessment Estimator'!$E$11:$Z$225,'Pre-Assessment Estimator'!$G$2,FALSE))</f>
        <v>0</v>
      </c>
      <c r="AJ184" s="172">
        <f>IF(VLOOKUP(E184,'Pre-Assessment Estimator'!$E$11:$Z$225,'Pre-Assessment Estimator'!$N$2,FALSE)&gt;AB184,AB184,VLOOKUP(E184,'Pre-Assessment Estimator'!$E$11:$Z$225,'Pre-Assessment Estimator'!$N$2,FALSE))</f>
        <v>0</v>
      </c>
      <c r="AK184" s="172">
        <f>IF(VLOOKUP(E184,'Pre-Assessment Estimator'!$E$11:$Z$225,'Pre-Assessment Estimator'!$U$2,FALSE)&gt;AB184,AB184,VLOOKUP(E184,'Pre-Assessment Estimator'!$E$11:$Z$225,'Pre-Assessment Estimator'!$U$2,FALSE))</f>
        <v>0</v>
      </c>
      <c r="AM184" s="292"/>
      <c r="AN184" s="293"/>
      <c r="AO184" s="293"/>
      <c r="AP184" s="181"/>
      <c r="AQ184" s="186"/>
      <c r="AR184" s="139"/>
      <c r="AS184" s="291"/>
      <c r="AT184" s="181"/>
      <c r="AU184" s="181"/>
      <c r="AV184" s="181"/>
      <c r="AW184" s="186"/>
      <c r="AY184" s="188"/>
      <c r="AZ184" s="189"/>
      <c r="BA184" s="189"/>
      <c r="BB184" s="190"/>
      <c r="BC184" s="190"/>
      <c r="BD184" s="182">
        <f t="shared" si="463"/>
        <v>9</v>
      </c>
      <c r="BE184" s="164" t="str">
        <f t="shared" si="441"/>
        <v>N/A</v>
      </c>
      <c r="BF184" s="185"/>
      <c r="BG184" s="182">
        <f t="shared" si="464"/>
        <v>9</v>
      </c>
      <c r="BH184" s="164" t="str">
        <f t="shared" si="443"/>
        <v>N/A</v>
      </c>
      <c r="BI184" s="185"/>
      <c r="BJ184" s="182">
        <f t="shared" si="465"/>
        <v>9</v>
      </c>
      <c r="BK184" s="164" t="str">
        <f t="shared" si="445"/>
        <v>N/A</v>
      </c>
      <c r="BL184" s="185"/>
      <c r="BO184" s="167"/>
      <c r="BP184" s="167"/>
      <c r="BQ184" s="167" t="str">
        <f t="shared" si="342"/>
        <v/>
      </c>
      <c r="BR184" s="167">
        <f t="shared" si="396"/>
        <v>9</v>
      </c>
      <c r="BS184" s="167">
        <f t="shared" si="397"/>
        <v>9</v>
      </c>
      <c r="BT184" s="167">
        <f t="shared" si="398"/>
        <v>9</v>
      </c>
      <c r="BW184" s="167"/>
      <c r="BX184" s="167"/>
      <c r="BY184" s="167"/>
      <c r="BZ184" s="167"/>
      <c r="CA184" s="167"/>
      <c r="CB184" s="167"/>
    </row>
    <row r="185" spans="1:81" x14ac:dyDescent="0.25">
      <c r="A185" s="96">
        <v>177</v>
      </c>
      <c r="B185" s="96" t="str">
        <f t="shared" ref="B185:B186" si="495">$D$183&amp;D185</f>
        <v>LE 05b</v>
      </c>
      <c r="C185" s="96" t="str">
        <f t="shared" si="344"/>
        <v>LE 05</v>
      </c>
      <c r="D185" s="188" t="s">
        <v>697</v>
      </c>
      <c r="E185" s="1108" t="s">
        <v>683</v>
      </c>
      <c r="F185" s="775">
        <v>1</v>
      </c>
      <c r="G185" s="775">
        <v>1</v>
      </c>
      <c r="H185" s="775">
        <v>1</v>
      </c>
      <c r="I185" s="775">
        <v>1</v>
      </c>
      <c r="J185" s="775">
        <v>1</v>
      </c>
      <c r="K185" s="775">
        <v>1</v>
      </c>
      <c r="L185" s="775">
        <v>1</v>
      </c>
      <c r="M185" s="775">
        <v>1</v>
      </c>
      <c r="N185" s="775">
        <v>1</v>
      </c>
      <c r="O185" s="775">
        <v>1</v>
      </c>
      <c r="P185" s="775">
        <v>1</v>
      </c>
      <c r="Q185" s="775">
        <v>1</v>
      </c>
      <c r="R185" s="775">
        <v>1</v>
      </c>
      <c r="T185" s="221">
        <f t="shared" si="432"/>
        <v>1</v>
      </c>
      <c r="U185" s="166"/>
      <c r="V185" s="167"/>
      <c r="W185" s="167"/>
      <c r="X185" s="167"/>
      <c r="Y185" s="168"/>
      <c r="Z185" s="168">
        <f>VLOOKUP(B185,'Manuell filtrering og justering'!$A$7:$H$253,'Manuell filtrering og justering'!$H$1,FALSE)</f>
        <v>1</v>
      </c>
      <c r="AA185" s="169">
        <f t="shared" si="434"/>
        <v>0</v>
      </c>
      <c r="AB185" s="170">
        <f>IF($AC$5='Manuell filtrering og justering'!$J$2,Z185,(T185-AA185))</f>
        <v>1</v>
      </c>
      <c r="AD185" s="171">
        <f t="shared" si="435"/>
        <v>7.8947368421052634E-3</v>
      </c>
      <c r="AE185" s="171">
        <f t="shared" si="447"/>
        <v>0</v>
      </c>
      <c r="AF185" s="171">
        <f t="shared" si="448"/>
        <v>0</v>
      </c>
      <c r="AG185" s="171">
        <f t="shared" si="449"/>
        <v>0</v>
      </c>
      <c r="AI185" s="1068">
        <f>IF(AI245=AD_no,0,IF(VLOOKUP(E185,'Pre-Assessment Estimator'!$E$11:$Z$225,'Pre-Assessment Estimator'!$G$2,FALSE)&gt;AB185,AB185,VLOOKUP(E185,'Pre-Assessment Estimator'!$E$11:$Z$225,'Pre-Assessment Estimator'!$G$2,FALSE)))</f>
        <v>0</v>
      </c>
      <c r="AJ185" s="1068">
        <f>IF(AJ245=AD_no,0,IF(VLOOKUP(E185,'Pre-Assessment Estimator'!$E$11:$Z$225,'Pre-Assessment Estimator'!$N$2,FALSE)&gt;AB185,AB185,VLOOKUP(E185,'Pre-Assessment Estimator'!$E$11:$Z$225,'Pre-Assessment Estimator'!$N$2,FALSE)))</f>
        <v>0</v>
      </c>
      <c r="AK185" s="1068">
        <f>IF(AK245=AD_no,0,IF(VLOOKUP(E185,'Pre-Assessment Estimator'!$E$11:$Z$225,'Pre-Assessment Estimator'!$U$2,FALSE)&gt;AB185,AB185,VLOOKUP(E185,'Pre-Assessment Estimator'!$E$11:$Z$225,'Pre-Assessment Estimator'!$U$2,FALSE)))</f>
        <v>0</v>
      </c>
      <c r="AM185" s="292"/>
      <c r="AN185" s="293"/>
      <c r="AO185" s="293"/>
      <c r="AP185" s="181"/>
      <c r="AQ185" s="186"/>
      <c r="AR185" s="139"/>
      <c r="AS185" s="291"/>
      <c r="AT185" s="181"/>
      <c r="AU185" s="181"/>
      <c r="AV185" s="181"/>
      <c r="AW185" s="186"/>
      <c r="AY185" s="188"/>
      <c r="AZ185" s="189"/>
      <c r="BA185" s="189"/>
      <c r="BB185" s="190"/>
      <c r="BC185" s="190"/>
      <c r="BD185" s="182">
        <f t="shared" si="463"/>
        <v>9</v>
      </c>
      <c r="BE185" s="164" t="str">
        <f t="shared" si="441"/>
        <v>N/A</v>
      </c>
      <c r="BF185" s="185"/>
      <c r="BG185" s="182">
        <f t="shared" si="464"/>
        <v>9</v>
      </c>
      <c r="BH185" s="164" t="str">
        <f t="shared" si="443"/>
        <v>N/A</v>
      </c>
      <c r="BI185" s="185"/>
      <c r="BJ185" s="182">
        <f t="shared" si="465"/>
        <v>9</v>
      </c>
      <c r="BK185" s="164" t="str">
        <f t="shared" si="445"/>
        <v>N/A</v>
      </c>
      <c r="BL185" s="185"/>
      <c r="BO185" s="167"/>
      <c r="BP185" s="167"/>
      <c r="BQ185" s="167" t="str">
        <f t="shared" si="342"/>
        <v/>
      </c>
      <c r="BR185" s="167">
        <f t="shared" si="396"/>
        <v>9</v>
      </c>
      <c r="BS185" s="167">
        <f t="shared" si="397"/>
        <v>9</v>
      </c>
      <c r="BT185" s="167">
        <f t="shared" si="398"/>
        <v>9</v>
      </c>
      <c r="BW185" s="167"/>
      <c r="BX185" s="167"/>
      <c r="BY185" s="167"/>
      <c r="BZ185" s="167"/>
      <c r="CA185" s="167"/>
      <c r="CB185" s="167"/>
    </row>
    <row r="186" spans="1:81" x14ac:dyDescent="0.25">
      <c r="A186" s="96">
        <v>178</v>
      </c>
      <c r="B186" s="96" t="str">
        <f t="shared" si="495"/>
        <v>LE 05c</v>
      </c>
      <c r="C186" s="96" t="str">
        <f t="shared" si="344"/>
        <v>LE 05</v>
      </c>
      <c r="D186" s="188" t="s">
        <v>698</v>
      </c>
      <c r="E186" s="1108" t="s">
        <v>684</v>
      </c>
      <c r="F186" s="775">
        <v>1</v>
      </c>
      <c r="G186" s="775">
        <v>1</v>
      </c>
      <c r="H186" s="775">
        <v>1</v>
      </c>
      <c r="I186" s="775">
        <v>1</v>
      </c>
      <c r="J186" s="775">
        <v>1</v>
      </c>
      <c r="K186" s="775">
        <v>1</v>
      </c>
      <c r="L186" s="775">
        <v>1</v>
      </c>
      <c r="M186" s="775">
        <v>1</v>
      </c>
      <c r="N186" s="775">
        <v>1</v>
      </c>
      <c r="O186" s="775">
        <v>1</v>
      </c>
      <c r="P186" s="775">
        <v>1</v>
      </c>
      <c r="Q186" s="775">
        <v>1</v>
      </c>
      <c r="R186" s="775">
        <v>1</v>
      </c>
      <c r="T186" s="221">
        <f t="shared" si="432"/>
        <v>1</v>
      </c>
      <c r="U186" s="166"/>
      <c r="V186" s="167"/>
      <c r="W186" s="167"/>
      <c r="X186" s="167"/>
      <c r="Y186" s="168"/>
      <c r="Z186" s="168">
        <f>VLOOKUP(B186,'Manuell filtrering og justering'!$A$7:$H$253,'Manuell filtrering og justering'!$H$1,FALSE)</f>
        <v>1</v>
      </c>
      <c r="AA186" s="169">
        <f t="shared" si="434"/>
        <v>0</v>
      </c>
      <c r="AB186" s="170">
        <f>IF($AC$5='Manuell filtrering og justering'!$J$2,Z186,(T186-AA186))</f>
        <v>1</v>
      </c>
      <c r="AD186" s="171">
        <f t="shared" si="435"/>
        <v>7.8947368421052634E-3</v>
      </c>
      <c r="AE186" s="171">
        <f t="shared" si="447"/>
        <v>0</v>
      </c>
      <c r="AF186" s="171">
        <f t="shared" si="448"/>
        <v>0</v>
      </c>
      <c r="AG186" s="171">
        <f t="shared" si="449"/>
        <v>0</v>
      </c>
      <c r="AI186" s="1068">
        <f>IF(AI245=AD_no,0,IF(VLOOKUP(E186,'Pre-Assessment Estimator'!$E$11:$Z$225,'Pre-Assessment Estimator'!$G$2,FALSE)&gt;AB186,AB186,VLOOKUP(E186,'Pre-Assessment Estimator'!$E$11:$Z$225,'Pre-Assessment Estimator'!$G$2,FALSE)))</f>
        <v>0</v>
      </c>
      <c r="AJ186" s="1068">
        <f>IF(AJ245=AD_no,0,IF(VLOOKUP(E186,'Pre-Assessment Estimator'!$E$11:$Z$225,'Pre-Assessment Estimator'!$N$2,FALSE)&gt;AB186,AB186,VLOOKUP(E186,'Pre-Assessment Estimator'!$E$11:$Z$225,'Pre-Assessment Estimator'!$N$2,FALSE)))</f>
        <v>0</v>
      </c>
      <c r="AK186" s="1068">
        <f>IF(AK245=AD_no,0,IF(VLOOKUP(E186,'Pre-Assessment Estimator'!$E$11:$Z$225,'Pre-Assessment Estimator'!$U$2,FALSE)&gt;AB186,AB186,VLOOKUP(E186,'Pre-Assessment Estimator'!$E$11:$Z$225,'Pre-Assessment Estimator'!$U$2,FALSE)))</f>
        <v>0</v>
      </c>
      <c r="AM186" s="292"/>
      <c r="AN186" s="293"/>
      <c r="AO186" s="293"/>
      <c r="AP186" s="181"/>
      <c r="AQ186" s="186"/>
      <c r="AR186" s="139"/>
      <c r="AS186" s="291"/>
      <c r="AT186" s="181"/>
      <c r="AU186" s="181"/>
      <c r="AV186" s="181"/>
      <c r="AW186" s="186"/>
      <c r="AY186" s="188"/>
      <c r="AZ186" s="189"/>
      <c r="BA186" s="189"/>
      <c r="BB186" s="190"/>
      <c r="BC186" s="190"/>
      <c r="BD186" s="182">
        <f t="shared" si="463"/>
        <v>9</v>
      </c>
      <c r="BE186" s="164" t="str">
        <f t="shared" si="441"/>
        <v>N/A</v>
      </c>
      <c r="BF186" s="185"/>
      <c r="BG186" s="182">
        <f t="shared" si="464"/>
        <v>9</v>
      </c>
      <c r="BH186" s="164" t="str">
        <f t="shared" si="443"/>
        <v>N/A</v>
      </c>
      <c r="BI186" s="185"/>
      <c r="BJ186" s="182">
        <f t="shared" si="465"/>
        <v>9</v>
      </c>
      <c r="BK186" s="164" t="str">
        <f t="shared" si="445"/>
        <v>N/A</v>
      </c>
      <c r="BL186" s="185"/>
      <c r="BO186" s="167"/>
      <c r="BP186" s="167"/>
      <c r="BQ186" s="167" t="str">
        <f t="shared" si="342"/>
        <v/>
      </c>
      <c r="BR186" s="167">
        <f t="shared" si="396"/>
        <v>9</v>
      </c>
      <c r="BS186" s="167">
        <f t="shared" si="397"/>
        <v>9</v>
      </c>
      <c r="BT186" s="167">
        <f t="shared" si="398"/>
        <v>9</v>
      </c>
      <c r="BW186" s="167"/>
      <c r="BX186" s="167"/>
      <c r="BY186" s="167"/>
      <c r="BZ186" s="167"/>
      <c r="CA186" s="167"/>
      <c r="CB186" s="167"/>
    </row>
    <row r="187" spans="1:81" x14ac:dyDescent="0.25">
      <c r="A187" s="96">
        <v>179</v>
      </c>
      <c r="B187" s="137" t="str">
        <f>D187</f>
        <v>LE 06</v>
      </c>
      <c r="C187" s="137" t="str">
        <f>B187</f>
        <v>LE 06</v>
      </c>
      <c r="D187" s="946" t="s">
        <v>185</v>
      </c>
      <c r="E187" s="832" t="s">
        <v>691</v>
      </c>
      <c r="F187" s="933">
        <f>F188</f>
        <v>1</v>
      </c>
      <c r="G187" s="933">
        <f t="shared" ref="G187:R187" si="496">G188</f>
        <v>1</v>
      </c>
      <c r="H187" s="933">
        <f t="shared" si="496"/>
        <v>1</v>
      </c>
      <c r="I187" s="933">
        <f t="shared" si="496"/>
        <v>1</v>
      </c>
      <c r="J187" s="933">
        <f t="shared" si="496"/>
        <v>1</v>
      </c>
      <c r="K187" s="933">
        <f t="shared" si="496"/>
        <v>1</v>
      </c>
      <c r="L187" s="933">
        <f>L188</f>
        <v>1</v>
      </c>
      <c r="M187" s="933">
        <f t="shared" si="496"/>
        <v>1</v>
      </c>
      <c r="N187" s="933">
        <f t="shared" si="496"/>
        <v>1</v>
      </c>
      <c r="O187" s="933">
        <f t="shared" si="496"/>
        <v>1</v>
      </c>
      <c r="P187" s="933">
        <f t="shared" si="496"/>
        <v>1</v>
      </c>
      <c r="Q187" s="933">
        <f t="shared" si="496"/>
        <v>1</v>
      </c>
      <c r="R187" s="933">
        <f t="shared" si="496"/>
        <v>1</v>
      </c>
      <c r="T187" s="963">
        <f t="shared" si="432"/>
        <v>1</v>
      </c>
      <c r="U187" s="222"/>
      <c r="V187" s="230"/>
      <c r="W187" s="230"/>
      <c r="X187" s="230">
        <f>'Manuell filtrering og justering'!E80</f>
        <v>0</v>
      </c>
      <c r="Y187" s="230"/>
      <c r="Z187" s="958">
        <f t="shared" ref="Z187" si="497">Z188</f>
        <v>1</v>
      </c>
      <c r="AA187" s="963">
        <f t="shared" si="434"/>
        <v>0</v>
      </c>
      <c r="AB187" s="1067">
        <f>SUM(AB188)</f>
        <v>1</v>
      </c>
      <c r="AD187" s="171">
        <f t="shared" si="435"/>
        <v>7.8947368421052634E-3</v>
      </c>
      <c r="AE187" s="921">
        <f>SUM(AE188)</f>
        <v>0</v>
      </c>
      <c r="AF187" s="921">
        <f t="shared" ref="AF187" si="498">SUM(AF188)</f>
        <v>0</v>
      </c>
      <c r="AG187" s="921">
        <f t="shared" ref="AG187" si="499">SUM(AG188)</f>
        <v>0</v>
      </c>
      <c r="AI187" s="958">
        <f t="shared" ref="AI187" si="500">AI188</f>
        <v>0</v>
      </c>
      <c r="AJ187" s="958">
        <f t="shared" ref="AJ187" si="501">AJ188</f>
        <v>0</v>
      </c>
      <c r="AK187" s="958">
        <f t="shared" ref="AK187" si="502">AK188</f>
        <v>0</v>
      </c>
      <c r="AM187" s="292"/>
      <c r="AN187" s="293"/>
      <c r="AO187" s="293"/>
      <c r="AP187" s="181"/>
      <c r="AQ187" s="186"/>
      <c r="AR187" s="139"/>
      <c r="AS187" s="291"/>
      <c r="AT187" s="181"/>
      <c r="AU187" s="181"/>
      <c r="AV187" s="181"/>
      <c r="AW187" s="186"/>
      <c r="AY187" s="188"/>
      <c r="AZ187" s="189"/>
      <c r="BA187" s="189"/>
      <c r="BB187" s="190"/>
      <c r="BC187" s="190"/>
      <c r="BD187" s="182">
        <f t="shared" si="463"/>
        <v>9</v>
      </c>
      <c r="BE187" s="164" t="str">
        <f t="shared" si="441"/>
        <v>N/A</v>
      </c>
      <c r="BF187" s="185"/>
      <c r="BG187" s="182">
        <f t="shared" si="464"/>
        <v>9</v>
      </c>
      <c r="BH187" s="164" t="str">
        <f t="shared" si="443"/>
        <v>N/A</v>
      </c>
      <c r="BI187" s="185"/>
      <c r="BJ187" s="182">
        <f t="shared" si="465"/>
        <v>9</v>
      </c>
      <c r="BK187" s="164" t="str">
        <f t="shared" si="445"/>
        <v>N/A</v>
      </c>
      <c r="BL187" s="185"/>
      <c r="BO187" s="167"/>
      <c r="BP187" s="167"/>
      <c r="BQ187" s="167" t="str">
        <f t="shared" si="342"/>
        <v/>
      </c>
      <c r="BR187" s="167">
        <f t="shared" si="396"/>
        <v>9</v>
      </c>
      <c r="BS187" s="167">
        <f t="shared" si="397"/>
        <v>9</v>
      </c>
      <c r="BT187" s="167">
        <f t="shared" si="398"/>
        <v>9</v>
      </c>
      <c r="BW187" s="167" t="str">
        <f>D187</f>
        <v>LE 06</v>
      </c>
      <c r="BX187" s="167" t="str">
        <f>IFERROR(VLOOKUP($E187,'Pre-Assessment Estimator'!$E$11:$AB$225,'Pre-Assessment Estimator'!AB$2,FALSE),"")</f>
        <v>N/A</v>
      </c>
      <c r="BY187" s="167">
        <f>IFERROR(VLOOKUP($E187,'Pre-Assessment Estimator'!$E$11:$AI$225,'Pre-Assessment Estimator'!AI$2,FALSE),"")</f>
        <v>0</v>
      </c>
      <c r="BZ187" s="167">
        <f>IFERROR(VLOOKUP($BX187,$E$292:$H$325,F$290,FALSE),"")</f>
        <v>1</v>
      </c>
      <c r="CA187" s="167">
        <f>IFERROR(VLOOKUP($BX187,$E$292:$H$325,G$290,FALSE),"")</f>
        <v>0</v>
      </c>
      <c r="CB187" s="167"/>
      <c r="CC187" s="96" t="str">
        <f>IFERROR(VLOOKUP($BX187,$E$292:$H$325,I$290,FALSE),"")</f>
        <v/>
      </c>
    </row>
    <row r="188" spans="1:81" x14ac:dyDescent="0.25">
      <c r="A188" s="96">
        <v>180</v>
      </c>
      <c r="B188" s="96" t="str">
        <f t="shared" ref="B188" si="503">$D$187&amp;D188</f>
        <v>LE 06a</v>
      </c>
      <c r="C188" s="96" t="str">
        <f t="shared" si="344"/>
        <v>LE 06</v>
      </c>
      <c r="D188" s="188" t="s">
        <v>694</v>
      </c>
      <c r="E188" s="1250" t="s">
        <v>1065</v>
      </c>
      <c r="F188" s="775">
        <v>1</v>
      </c>
      <c r="G188" s="775">
        <v>1</v>
      </c>
      <c r="H188" s="775">
        <v>1</v>
      </c>
      <c r="I188" s="775">
        <v>1</v>
      </c>
      <c r="J188" s="775">
        <v>1</v>
      </c>
      <c r="K188" s="775">
        <v>1</v>
      </c>
      <c r="L188" s="775">
        <v>1</v>
      </c>
      <c r="M188" s="775">
        <v>1</v>
      </c>
      <c r="N188" s="775">
        <v>1</v>
      </c>
      <c r="O188" s="775">
        <v>1</v>
      </c>
      <c r="P188" s="775">
        <v>1</v>
      </c>
      <c r="Q188" s="775">
        <v>1</v>
      </c>
      <c r="R188" s="775">
        <v>1</v>
      </c>
      <c r="T188" s="221">
        <f t="shared" si="432"/>
        <v>1</v>
      </c>
      <c r="U188" s="192"/>
      <c r="V188" s="193"/>
      <c r="W188" s="193"/>
      <c r="X188" s="167"/>
      <c r="Y188" s="168"/>
      <c r="Z188" s="168">
        <f>VLOOKUP(B188,'Manuell filtrering og justering'!$A$7:$H$253,'Manuell filtrering og justering'!$H$1,FALSE)</f>
        <v>1</v>
      </c>
      <c r="AA188" s="169">
        <f t="shared" si="434"/>
        <v>0</v>
      </c>
      <c r="AB188" s="170">
        <f>IF($AC$5='Manuell filtrering og justering'!$J$2,Z188,(T188-AA188))</f>
        <v>1</v>
      </c>
      <c r="AD188" s="171">
        <f t="shared" si="435"/>
        <v>7.8947368421052634E-3</v>
      </c>
      <c r="AE188" s="171">
        <f t="shared" si="447"/>
        <v>0</v>
      </c>
      <c r="AF188" s="171">
        <f t="shared" si="448"/>
        <v>0</v>
      </c>
      <c r="AG188" s="171">
        <f t="shared" si="449"/>
        <v>0</v>
      </c>
      <c r="AI188" s="172">
        <f>IF(VLOOKUP(E188,'Pre-Assessment Estimator'!$E$11:$Z$225,'Pre-Assessment Estimator'!$G$2,FALSE)&gt;AB188,AB188,VLOOKUP(E188,'Pre-Assessment Estimator'!$E$11:$Z$225,'Pre-Assessment Estimator'!$G$2,FALSE))</f>
        <v>0</v>
      </c>
      <c r="AJ188" s="172">
        <f>IF(VLOOKUP(E188,'Pre-Assessment Estimator'!$E$11:$Z$225,'Pre-Assessment Estimator'!$N$2,FALSE)&gt;AB188,AB188,VLOOKUP(E188,'Pre-Assessment Estimator'!$E$11:$Z$225,'Pre-Assessment Estimator'!$N$2,FALSE))</f>
        <v>0</v>
      </c>
      <c r="AK188" s="172">
        <f>IF(VLOOKUP(E188,'Pre-Assessment Estimator'!$E$11:$Z$225,'Pre-Assessment Estimator'!$U$2,FALSE)&gt;AB188,AB188,VLOOKUP(E188,'Pre-Assessment Estimator'!$E$11:$Z$225,'Pre-Assessment Estimator'!$U$2,FALSE))</f>
        <v>0</v>
      </c>
      <c r="AM188" s="292"/>
      <c r="AN188" s="293"/>
      <c r="AO188" s="293"/>
      <c r="AP188" s="181">
        <v>1</v>
      </c>
      <c r="AQ188" s="186">
        <v>1</v>
      </c>
      <c r="AR188" s="139"/>
      <c r="AS188" s="291"/>
      <c r="AT188" s="181"/>
      <c r="AU188" s="181"/>
      <c r="AV188" s="181">
        <v>1</v>
      </c>
      <c r="AW188" s="186">
        <v>1</v>
      </c>
      <c r="AY188" s="188"/>
      <c r="AZ188" s="189"/>
      <c r="BA188" s="189"/>
      <c r="BB188" s="183">
        <f>IF($AB188=0,0,IF($E$6=$H$9,AV188,AP188))</f>
        <v>1</v>
      </c>
      <c r="BC188" s="183">
        <f>IF($AB188=0,0,IF($E$6=$H$9,AW188,AQ188))</f>
        <v>1</v>
      </c>
      <c r="BD188" s="182">
        <f t="shared" si="463"/>
        <v>3</v>
      </c>
      <c r="BE188" s="164" t="str">
        <f t="shared" si="441"/>
        <v>Very Good</v>
      </c>
      <c r="BF188" s="185"/>
      <c r="BG188" s="182">
        <f t="shared" si="464"/>
        <v>3</v>
      </c>
      <c r="BH188" s="164" t="str">
        <f t="shared" si="443"/>
        <v>Very Good</v>
      </c>
      <c r="BI188" s="185"/>
      <c r="BJ188" s="182">
        <f t="shared" si="465"/>
        <v>3</v>
      </c>
      <c r="BK188" s="164" t="str">
        <f t="shared" si="445"/>
        <v>Very Good</v>
      </c>
      <c r="BL188" s="185"/>
      <c r="BO188" s="167"/>
      <c r="BP188" s="167">
        <v>1</v>
      </c>
      <c r="BQ188" s="167">
        <f t="shared" si="342"/>
        <v>1</v>
      </c>
      <c r="BR188" s="167">
        <f t="shared" si="396"/>
        <v>0</v>
      </c>
      <c r="BS188" s="167">
        <f t="shared" si="397"/>
        <v>0</v>
      </c>
      <c r="BT188" s="167">
        <f t="shared" si="398"/>
        <v>0</v>
      </c>
      <c r="BW188" s="314"/>
      <c r="BX188" s="314"/>
      <c r="BY188" s="314"/>
      <c r="BZ188" s="314"/>
      <c r="CA188" s="314"/>
      <c r="CB188" s="314"/>
    </row>
    <row r="189" spans="1:81" x14ac:dyDescent="0.25">
      <c r="A189" s="96">
        <v>181</v>
      </c>
      <c r="B189" s="137" t="str">
        <f>D189</f>
        <v>LE 07</v>
      </c>
      <c r="C189" s="137" t="str">
        <f>B189</f>
        <v>LE 07</v>
      </c>
      <c r="D189" s="946" t="s">
        <v>482</v>
      </c>
      <c r="E189" s="832" t="s">
        <v>692</v>
      </c>
      <c r="F189" s="933">
        <f>SUM(F190:F191)</f>
        <v>2</v>
      </c>
      <c r="G189" s="933">
        <f t="shared" ref="G189:R189" si="504">SUM(G190:G191)</f>
        <v>2</v>
      </c>
      <c r="H189" s="933">
        <f t="shared" si="504"/>
        <v>2</v>
      </c>
      <c r="I189" s="933">
        <f t="shared" si="504"/>
        <v>2</v>
      </c>
      <c r="J189" s="933">
        <f t="shared" si="504"/>
        <v>2</v>
      </c>
      <c r="K189" s="933">
        <f t="shared" si="504"/>
        <v>2</v>
      </c>
      <c r="L189" s="933">
        <f t="shared" si="504"/>
        <v>2</v>
      </c>
      <c r="M189" s="933">
        <f t="shared" si="504"/>
        <v>2</v>
      </c>
      <c r="N189" s="933">
        <f t="shared" si="504"/>
        <v>2</v>
      </c>
      <c r="O189" s="933">
        <f t="shared" si="504"/>
        <v>2</v>
      </c>
      <c r="P189" s="933">
        <f t="shared" si="504"/>
        <v>2</v>
      </c>
      <c r="Q189" s="933">
        <f t="shared" ref="Q189" si="505">SUM(Q190:Q191)</f>
        <v>2</v>
      </c>
      <c r="R189" s="933">
        <f t="shared" si="504"/>
        <v>2</v>
      </c>
      <c r="T189" s="963">
        <f t="shared" si="432"/>
        <v>2</v>
      </c>
      <c r="U189" s="728"/>
      <c r="V189" s="964"/>
      <c r="W189" s="964"/>
      <c r="X189" s="230">
        <f>'Manuell filtrering og justering'!E81</f>
        <v>0</v>
      </c>
      <c r="Y189" s="230"/>
      <c r="Z189" s="958">
        <f t="shared" ref="Z189" si="506">SUM(Z190:Z191)</f>
        <v>2</v>
      </c>
      <c r="AA189" s="963">
        <f t="shared" si="434"/>
        <v>0</v>
      </c>
      <c r="AB189" s="1067">
        <f t="shared" ref="AB189" si="507">SUM(AB190:AB191)</f>
        <v>2</v>
      </c>
      <c r="AD189" s="171">
        <f t="shared" si="435"/>
        <v>1.5789473684210527E-2</v>
      </c>
      <c r="AE189" s="921">
        <f>SUM(AE190:AE191)</f>
        <v>0</v>
      </c>
      <c r="AF189" s="921">
        <f t="shared" ref="AF189:AG189" si="508">SUM(AF190:AF191)</f>
        <v>0</v>
      </c>
      <c r="AG189" s="921">
        <f t="shared" si="508"/>
        <v>0</v>
      </c>
      <c r="AI189" s="958">
        <f t="shared" ref="AI189" si="509">SUM(AI190:AI191)</f>
        <v>0</v>
      </c>
      <c r="AJ189" s="958">
        <f t="shared" ref="AJ189" si="510">SUM(AJ190:AJ191)</f>
        <v>0</v>
      </c>
      <c r="AK189" s="958">
        <f t="shared" ref="AK189" si="511">SUM(AK190:AK191)</f>
        <v>0</v>
      </c>
      <c r="AM189" s="292"/>
      <c r="AN189" s="293"/>
      <c r="AO189" s="293"/>
      <c r="AP189" s="293"/>
      <c r="AQ189" s="294"/>
      <c r="AR189" s="139"/>
      <c r="AS189" s="292"/>
      <c r="AT189" s="293"/>
      <c r="AU189" s="293"/>
      <c r="AV189" s="293"/>
      <c r="AW189" s="294"/>
      <c r="AY189" s="188"/>
      <c r="AZ189" s="189"/>
      <c r="BA189" s="189"/>
      <c r="BB189" s="189"/>
      <c r="BC189" s="190"/>
      <c r="BD189" s="182">
        <f t="shared" si="463"/>
        <v>9</v>
      </c>
      <c r="BE189" s="164" t="str">
        <f t="shared" si="441"/>
        <v>N/A</v>
      </c>
      <c r="BF189" s="185"/>
      <c r="BG189" s="182">
        <f t="shared" si="464"/>
        <v>9</v>
      </c>
      <c r="BH189" s="164" t="str">
        <f t="shared" si="443"/>
        <v>N/A</v>
      </c>
      <c r="BI189" s="185"/>
      <c r="BJ189" s="182">
        <f t="shared" si="465"/>
        <v>9</v>
      </c>
      <c r="BK189" s="164" t="str">
        <f t="shared" si="445"/>
        <v>N/A</v>
      </c>
      <c r="BL189" s="185"/>
      <c r="BO189" s="167"/>
      <c r="BP189" s="167"/>
      <c r="BQ189" s="167" t="str">
        <f t="shared" si="342"/>
        <v/>
      </c>
      <c r="BR189" s="167">
        <f t="shared" si="396"/>
        <v>9</v>
      </c>
      <c r="BS189" s="167">
        <f t="shared" si="397"/>
        <v>9</v>
      </c>
      <c r="BT189" s="167">
        <f t="shared" si="398"/>
        <v>9</v>
      </c>
      <c r="BW189" s="314" t="str">
        <f>D189</f>
        <v>LE 07</v>
      </c>
      <c r="BX189" s="314"/>
      <c r="BY189" s="314"/>
      <c r="BZ189" s="314"/>
      <c r="CA189" s="314"/>
      <c r="CB189" s="314"/>
    </row>
    <row r="190" spans="1:81" x14ac:dyDescent="0.25">
      <c r="A190" s="96">
        <v>182</v>
      </c>
      <c r="C190" s="96" t="str">
        <f t="shared" si="344"/>
        <v>LE 07</v>
      </c>
      <c r="D190" s="188" t="s">
        <v>694</v>
      </c>
      <c r="E190" s="940" t="s">
        <v>992</v>
      </c>
      <c r="F190" s="775"/>
      <c r="G190" s="775"/>
      <c r="H190" s="775"/>
      <c r="I190" s="775"/>
      <c r="J190" s="775"/>
      <c r="K190" s="775"/>
      <c r="L190" s="775"/>
      <c r="M190" s="775"/>
      <c r="N190" s="775"/>
      <c r="O190" s="775"/>
      <c r="P190" s="775"/>
      <c r="Q190" s="775"/>
      <c r="R190" s="775"/>
      <c r="T190" s="221">
        <f t="shared" si="432"/>
        <v>0</v>
      </c>
      <c r="U190" s="192"/>
      <c r="V190" s="193"/>
      <c r="W190" s="193"/>
      <c r="X190" s="167"/>
      <c r="Y190" s="168"/>
      <c r="Z190" s="168"/>
      <c r="AA190" s="169">
        <f t="shared" si="434"/>
        <v>0</v>
      </c>
      <c r="AB190" s="170">
        <f>IF($AC$5='Manuell filtrering og justering'!$J$2,Z190,(T190-AA190))</f>
        <v>0</v>
      </c>
      <c r="AD190" s="171">
        <f t="shared" si="435"/>
        <v>0</v>
      </c>
      <c r="AE190" s="171">
        <f t="shared" si="447"/>
        <v>0</v>
      </c>
      <c r="AF190" s="171">
        <f t="shared" si="448"/>
        <v>0</v>
      </c>
      <c r="AG190" s="171">
        <f t="shared" si="449"/>
        <v>0</v>
      </c>
      <c r="AI190" s="172">
        <f>IF(VLOOKUP(E190,'Pre-Assessment Estimator'!$E$11:$Z$225,'Pre-Assessment Estimator'!$G$2,FALSE)&gt;AB190,AB190,VLOOKUP(E190,'Pre-Assessment Estimator'!$E$11:$Z$225,'Pre-Assessment Estimator'!$G$2,FALSE))</f>
        <v>0</v>
      </c>
      <c r="AJ190" s="172">
        <f>IF(VLOOKUP(E190,'Pre-Assessment Estimator'!$E$11:$Z$225,'Pre-Assessment Estimator'!$N$2,FALSE)&gt;AB190,AB190,VLOOKUP(E190,'Pre-Assessment Estimator'!$E$11:$Z$225,'Pre-Assessment Estimator'!$N$2,FALSE))</f>
        <v>0</v>
      </c>
      <c r="AK190" s="172">
        <f>IF(VLOOKUP(E190,'Pre-Assessment Estimator'!$E$11:$Z$225,'Pre-Assessment Estimator'!$U$2,FALSE)&gt;AB190,AB190,VLOOKUP(E190,'Pre-Assessment Estimator'!$E$11:$Z$225,'Pre-Assessment Estimator'!$U$2,FALSE))</f>
        <v>0</v>
      </c>
      <c r="AM190" s="850"/>
      <c r="AN190" s="851"/>
      <c r="AO190" s="851"/>
      <c r="AP190" s="851"/>
      <c r="AQ190" s="843"/>
      <c r="AR190" s="139"/>
      <c r="AS190" s="850"/>
      <c r="AT190" s="851"/>
      <c r="AU190" s="851"/>
      <c r="AV190" s="851"/>
      <c r="AW190" s="843"/>
      <c r="AY190" s="731"/>
      <c r="AZ190" s="733"/>
      <c r="BA190" s="733"/>
      <c r="BB190" s="733"/>
      <c r="BC190" s="852"/>
      <c r="BD190" s="182">
        <f t="shared" si="463"/>
        <v>9</v>
      </c>
      <c r="BE190" s="164" t="str">
        <f t="shared" si="441"/>
        <v>N/A</v>
      </c>
      <c r="BF190" s="185"/>
      <c r="BG190" s="182">
        <f t="shared" si="464"/>
        <v>9</v>
      </c>
      <c r="BH190" s="164" t="str">
        <f t="shared" si="443"/>
        <v>N/A</v>
      </c>
      <c r="BI190" s="185"/>
      <c r="BJ190" s="182">
        <f t="shared" si="465"/>
        <v>9</v>
      </c>
      <c r="BK190" s="164" t="str">
        <f t="shared" si="445"/>
        <v>N/A</v>
      </c>
      <c r="BL190" s="847"/>
      <c r="BO190" s="167"/>
      <c r="BP190" s="167"/>
      <c r="BQ190" s="167" t="str">
        <f t="shared" si="342"/>
        <v/>
      </c>
      <c r="BR190" s="167">
        <f t="shared" si="396"/>
        <v>9</v>
      </c>
      <c r="BS190" s="167">
        <f t="shared" si="397"/>
        <v>9</v>
      </c>
      <c r="BT190" s="167">
        <f t="shared" si="398"/>
        <v>9</v>
      </c>
      <c r="BW190" s="314"/>
      <c r="BX190" s="314"/>
      <c r="BY190" s="314"/>
      <c r="BZ190" s="314"/>
      <c r="CA190" s="314"/>
      <c r="CB190" s="314"/>
    </row>
    <row r="191" spans="1:81" x14ac:dyDescent="0.25">
      <c r="A191" s="96">
        <v>183</v>
      </c>
      <c r="B191" s="96" t="str">
        <f t="shared" ref="B191" si="512">$D$189&amp;D191</f>
        <v>LE 07b</v>
      </c>
      <c r="C191" s="96" t="str">
        <f t="shared" si="344"/>
        <v>LE 07</v>
      </c>
      <c r="D191" s="188" t="s">
        <v>697</v>
      </c>
      <c r="E191" s="1108" t="s">
        <v>687</v>
      </c>
      <c r="F191" s="775">
        <v>2</v>
      </c>
      <c r="G191" s="775">
        <v>2</v>
      </c>
      <c r="H191" s="775">
        <v>2</v>
      </c>
      <c r="I191" s="775">
        <v>2</v>
      </c>
      <c r="J191" s="775">
        <v>2</v>
      </c>
      <c r="K191" s="775">
        <v>2</v>
      </c>
      <c r="L191" s="775">
        <v>2</v>
      </c>
      <c r="M191" s="775">
        <v>2</v>
      </c>
      <c r="N191" s="775">
        <v>2</v>
      </c>
      <c r="O191" s="775">
        <v>2</v>
      </c>
      <c r="P191" s="775">
        <v>2</v>
      </c>
      <c r="Q191" s="775">
        <v>2</v>
      </c>
      <c r="R191" s="775">
        <v>2</v>
      </c>
      <c r="T191" s="221">
        <f t="shared" si="432"/>
        <v>2</v>
      </c>
      <c r="U191" s="192"/>
      <c r="V191" s="193"/>
      <c r="W191" s="193"/>
      <c r="X191" s="167"/>
      <c r="Y191" s="168"/>
      <c r="Z191" s="168">
        <f>VLOOKUP(B191,'Manuell filtrering og justering'!$A$7:$H$253,'Manuell filtrering og justering'!$H$1,FALSE)</f>
        <v>2</v>
      </c>
      <c r="AA191" s="169">
        <f t="shared" si="434"/>
        <v>0</v>
      </c>
      <c r="AB191" s="170">
        <f>IF($AC$5='Manuell filtrering og justering'!$J$2,Z191,(T191-AA191))</f>
        <v>2</v>
      </c>
      <c r="AD191" s="171">
        <f t="shared" si="435"/>
        <v>1.5789473684210527E-2</v>
      </c>
      <c r="AE191" s="171">
        <f t="shared" si="447"/>
        <v>0</v>
      </c>
      <c r="AF191" s="171">
        <f t="shared" si="448"/>
        <v>0</v>
      </c>
      <c r="AG191" s="171">
        <f t="shared" si="449"/>
        <v>0</v>
      </c>
      <c r="AI191" s="1068">
        <f>IF(AI247=AD_no,0,IF(VLOOKUP(E191,'Pre-Assessment Estimator'!$E$11:$Z$225,'Pre-Assessment Estimator'!$G$2,FALSE)&gt;AB191,AB191,VLOOKUP(E191,'Pre-Assessment Estimator'!$E$11:$Z$225,'Pre-Assessment Estimator'!$G$2,FALSE)))</f>
        <v>0</v>
      </c>
      <c r="AJ191" s="1068">
        <f>IF(AJ247=AD_no,0,IF(VLOOKUP(E191,'Pre-Assessment Estimator'!$E$11:$Z$225,'Pre-Assessment Estimator'!$N$2,FALSE)&gt;AB191,AB191,VLOOKUP(E191,'Pre-Assessment Estimator'!$E$11:$Z$225,'Pre-Assessment Estimator'!$N$2,FALSE)))</f>
        <v>0</v>
      </c>
      <c r="AK191" s="1068">
        <f>IF(AK247=AD_no,0,IF(VLOOKUP(E191,'Pre-Assessment Estimator'!$E$11:$Z$225,'Pre-Assessment Estimator'!$U$2,FALSE)&gt;AB191,AB191,VLOOKUP(E191,'Pre-Assessment Estimator'!$E$11:$Z$225,'Pre-Assessment Estimator'!$U$2,FALSE)))</f>
        <v>0</v>
      </c>
      <c r="AM191" s="850"/>
      <c r="AN191" s="851"/>
      <c r="AO191" s="851"/>
      <c r="AP191" s="851"/>
      <c r="AQ191" s="843"/>
      <c r="AR191" s="139"/>
      <c r="AS191" s="850"/>
      <c r="AT191" s="851"/>
      <c r="AU191" s="851"/>
      <c r="AV191" s="851"/>
      <c r="AW191" s="843"/>
      <c r="AY191" s="731"/>
      <c r="AZ191" s="733"/>
      <c r="BA191" s="733"/>
      <c r="BB191" s="733"/>
      <c r="BC191" s="852"/>
      <c r="BD191" s="182">
        <f t="shared" si="463"/>
        <v>9</v>
      </c>
      <c r="BE191" s="164" t="str">
        <f t="shared" si="441"/>
        <v>N/A</v>
      </c>
      <c r="BF191" s="185"/>
      <c r="BG191" s="182">
        <f t="shared" si="464"/>
        <v>9</v>
      </c>
      <c r="BH191" s="164" t="str">
        <f t="shared" si="443"/>
        <v>N/A</v>
      </c>
      <c r="BI191" s="185"/>
      <c r="BJ191" s="182">
        <f t="shared" si="465"/>
        <v>9</v>
      </c>
      <c r="BK191" s="164" t="str">
        <f t="shared" si="445"/>
        <v>N/A</v>
      </c>
      <c r="BL191" s="847"/>
      <c r="BO191" s="167"/>
      <c r="BP191" s="167"/>
      <c r="BQ191" s="167" t="str">
        <f t="shared" si="342"/>
        <v/>
      </c>
      <c r="BR191" s="167">
        <f t="shared" si="396"/>
        <v>9</v>
      </c>
      <c r="BS191" s="167">
        <f t="shared" si="397"/>
        <v>9</v>
      </c>
      <c r="BT191" s="167">
        <f t="shared" si="398"/>
        <v>9</v>
      </c>
      <c r="BW191" s="314"/>
      <c r="BX191" s="314"/>
      <c r="BY191" s="314"/>
      <c r="BZ191" s="314"/>
      <c r="CA191" s="314"/>
      <c r="CB191" s="314"/>
    </row>
    <row r="192" spans="1:81" ht="15.75" thickBot="1" x14ac:dyDescent="0.3">
      <c r="A192" s="96">
        <v>184</v>
      </c>
      <c r="B192" s="137" t="str">
        <f>D192</f>
        <v>LE 08</v>
      </c>
      <c r="C192" s="137" t="str">
        <f>B192</f>
        <v>LE 08</v>
      </c>
      <c r="D192" s="946" t="s">
        <v>483</v>
      </c>
      <c r="E192" s="832" t="s">
        <v>693</v>
      </c>
      <c r="F192" s="933">
        <f>SUM(F193:F196)</f>
        <v>3</v>
      </c>
      <c r="G192" s="933">
        <f t="shared" ref="G192:R192" si="513">SUM(G193:G196)</f>
        <v>3</v>
      </c>
      <c r="H192" s="933">
        <f t="shared" si="513"/>
        <v>3</v>
      </c>
      <c r="I192" s="933">
        <f t="shared" si="513"/>
        <v>3</v>
      </c>
      <c r="J192" s="933">
        <f t="shared" si="513"/>
        <v>3</v>
      </c>
      <c r="K192" s="933">
        <f t="shared" si="513"/>
        <v>3</v>
      </c>
      <c r="L192" s="933">
        <f t="shared" si="513"/>
        <v>3</v>
      </c>
      <c r="M192" s="933">
        <f t="shared" si="513"/>
        <v>3</v>
      </c>
      <c r="N192" s="933">
        <f t="shared" si="513"/>
        <v>3</v>
      </c>
      <c r="O192" s="933">
        <f t="shared" si="513"/>
        <v>3</v>
      </c>
      <c r="P192" s="933">
        <f t="shared" si="513"/>
        <v>3</v>
      </c>
      <c r="Q192" s="933">
        <f t="shared" ref="Q192" si="514">SUM(Q193:Q196)</f>
        <v>3</v>
      </c>
      <c r="R192" s="933">
        <f t="shared" si="513"/>
        <v>3</v>
      </c>
      <c r="T192" s="963">
        <f t="shared" si="432"/>
        <v>3</v>
      </c>
      <c r="U192" s="728"/>
      <c r="V192" s="964"/>
      <c r="W192" s="964"/>
      <c r="X192" s="230">
        <f>'Manuell filtrering og justering'!E82</f>
        <v>0</v>
      </c>
      <c r="Y192" s="230"/>
      <c r="Z192" s="958">
        <f t="shared" ref="Z192" si="515">SUM(Z193:Z196)</f>
        <v>2</v>
      </c>
      <c r="AA192" s="963">
        <f t="shared" si="434"/>
        <v>0</v>
      </c>
      <c r="AB192" s="1067">
        <f>SUM(AB193:AB196)</f>
        <v>3</v>
      </c>
      <c r="AD192" s="171">
        <f t="shared" si="435"/>
        <v>2.368421052631579E-2</v>
      </c>
      <c r="AE192" s="921">
        <f>SUM(AE193:AE196)</f>
        <v>0</v>
      </c>
      <c r="AF192" s="921">
        <f t="shared" ref="AF192" si="516">SUM(AF193:AF196)</f>
        <v>0</v>
      </c>
      <c r="AG192" s="921">
        <f t="shared" ref="AG192" si="517">SUM(AG193:AG196)</f>
        <v>0</v>
      </c>
      <c r="AI192" s="958">
        <f t="shared" ref="AI192" si="518">SUM(AI193:AI196)</f>
        <v>0</v>
      </c>
      <c r="AJ192" s="958">
        <f t="shared" ref="AJ192" si="519">SUM(AJ193:AJ196)</f>
        <v>0</v>
      </c>
      <c r="AK192" s="958">
        <f t="shared" ref="AK192" si="520">SUM(AK193:AK196)</f>
        <v>0</v>
      </c>
      <c r="AM192" s="295"/>
      <c r="AN192" s="296"/>
      <c r="AO192" s="296"/>
      <c r="AP192" s="296"/>
      <c r="AQ192" s="297"/>
      <c r="AR192" s="139"/>
      <c r="AS192" s="295"/>
      <c r="AT192" s="296"/>
      <c r="AU192" s="296"/>
      <c r="AV192" s="296"/>
      <c r="AW192" s="297"/>
      <c r="AY192" s="194"/>
      <c r="AZ192" s="196"/>
      <c r="BA192" s="196"/>
      <c r="BB192" s="196"/>
      <c r="BC192" s="197"/>
      <c r="BD192" s="198">
        <f t="shared" ref="BD192:BD196" si="521">IF(BC192=0,9,IF(AI192&gt;=BC192,5,IF(AI192&gt;=BB192,4,IF(AI192&gt;=BA192,3,IF(AI192&gt;=AZ192,2,IF(AI192&lt;AY192,0,1))))))</f>
        <v>9</v>
      </c>
      <c r="BE192" s="164" t="str">
        <f t="shared" si="441"/>
        <v>N/A</v>
      </c>
      <c r="BF192" s="200"/>
      <c r="BG192" s="198">
        <f t="shared" ref="BG192:BG196" si="522">IF(BC192=0,9,IF(AJ192&gt;=BC192,5,IF(AJ192&gt;=BB192,4,IF(AJ192&gt;=BA192,3,IF(AJ192&gt;=AZ192,2,IF(AJ192&lt;AY192,0,1))))))</f>
        <v>9</v>
      </c>
      <c r="BH192" s="164" t="str">
        <f t="shared" si="443"/>
        <v>N/A</v>
      </c>
      <c r="BI192" s="200"/>
      <c r="BJ192" s="198">
        <f t="shared" ref="BJ192:BJ196" si="523">IF(BC192=0,9,IF(AK192&gt;=BC192,5,IF(AK192&gt;=BB192,4,IF(AK192&gt;=BA192,3,IF(AK192&gt;=AZ192,2,IF(AK192&lt;AY192,0,1))))))</f>
        <v>9</v>
      </c>
      <c r="BK192" s="164" t="str">
        <f t="shared" si="445"/>
        <v>N/A</v>
      </c>
      <c r="BL192" s="200"/>
      <c r="BO192" s="167"/>
      <c r="BP192" s="167"/>
      <c r="BQ192" s="167" t="str">
        <f t="shared" si="342"/>
        <v/>
      </c>
      <c r="BR192" s="167">
        <f t="shared" si="396"/>
        <v>9</v>
      </c>
      <c r="BS192" s="167">
        <f t="shared" si="397"/>
        <v>9</v>
      </c>
      <c r="BT192" s="167">
        <f t="shared" si="398"/>
        <v>9</v>
      </c>
      <c r="BW192" s="314" t="str">
        <f>D192</f>
        <v>LE 08</v>
      </c>
      <c r="BX192" s="314"/>
      <c r="BY192" s="314"/>
      <c r="BZ192" s="314"/>
      <c r="CA192" s="314"/>
      <c r="CB192" s="314"/>
    </row>
    <row r="193" spans="1:85" x14ac:dyDescent="0.25">
      <c r="A193" s="96">
        <v>185</v>
      </c>
      <c r="C193" s="96" t="str">
        <f t="shared" si="344"/>
        <v>LE 08</v>
      </c>
      <c r="D193" s="188" t="s">
        <v>694</v>
      </c>
      <c r="E193" s="940" t="s">
        <v>993</v>
      </c>
      <c r="F193" s="775"/>
      <c r="G193" s="775"/>
      <c r="H193" s="775"/>
      <c r="I193" s="775"/>
      <c r="J193" s="775"/>
      <c r="K193" s="775"/>
      <c r="L193" s="775"/>
      <c r="M193" s="775"/>
      <c r="N193" s="775"/>
      <c r="O193" s="775"/>
      <c r="P193" s="775"/>
      <c r="Q193" s="775"/>
      <c r="R193" s="775"/>
      <c r="T193" s="221">
        <f t="shared" si="432"/>
        <v>0</v>
      </c>
      <c r="U193" s="192"/>
      <c r="V193" s="193"/>
      <c r="W193" s="193"/>
      <c r="X193" s="193"/>
      <c r="Y193" s="1166"/>
      <c r="Z193" s="168"/>
      <c r="AA193" s="169">
        <f t="shared" si="434"/>
        <v>0</v>
      </c>
      <c r="AB193" s="170">
        <f>IF($AC$5='Manuell filtrering og justering'!$J$2,Z193,(T193-AA193))</f>
        <v>0</v>
      </c>
      <c r="AD193" s="171">
        <f t="shared" si="435"/>
        <v>0</v>
      </c>
      <c r="AE193" s="171">
        <f t="shared" si="447"/>
        <v>0</v>
      </c>
      <c r="AF193" s="171">
        <f t="shared" si="448"/>
        <v>0</v>
      </c>
      <c r="AG193" s="171">
        <f t="shared" si="449"/>
        <v>0</v>
      </c>
      <c r="AI193" s="172">
        <f>IF(VLOOKUP(E193,'Pre-Assessment Estimator'!$E$11:$Z$225,'Pre-Assessment Estimator'!$G$2,FALSE)&gt;AB193,AB193,VLOOKUP(E193,'Pre-Assessment Estimator'!$E$11:$Z$225,'Pre-Assessment Estimator'!$G$2,FALSE))</f>
        <v>0</v>
      </c>
      <c r="AJ193" s="172">
        <f>IF(VLOOKUP(E193,'Pre-Assessment Estimator'!$E$11:$Z$225,'Pre-Assessment Estimator'!$N$2,FALSE)&gt;AB193,AB193,VLOOKUP(E193,'Pre-Assessment Estimator'!$E$11:$Z$225,'Pre-Assessment Estimator'!$N$2,FALSE))</f>
        <v>0</v>
      </c>
      <c r="AK193" s="172">
        <f>IF(VLOOKUP(E193,'Pre-Assessment Estimator'!$E$11:$Z$225,'Pre-Assessment Estimator'!$U$2,FALSE)&gt;AB193,AB193,VLOOKUP(E193,'Pre-Assessment Estimator'!$E$11:$Z$225,'Pre-Assessment Estimator'!$U$2,FALSE))</f>
        <v>0</v>
      </c>
      <c r="AM193" s="850"/>
      <c r="AN193" s="851"/>
      <c r="AO193" s="851"/>
      <c r="AP193" s="851"/>
      <c r="AQ193" s="843"/>
      <c r="AR193" s="139"/>
      <c r="AS193" s="850"/>
      <c r="AT193" s="851"/>
      <c r="AU193" s="851"/>
      <c r="AV193" s="851"/>
      <c r="AW193" s="843"/>
      <c r="AY193" s="731"/>
      <c r="AZ193" s="733"/>
      <c r="BA193" s="733"/>
      <c r="BB193" s="733"/>
      <c r="BC193" s="852"/>
      <c r="BD193" s="182">
        <f t="shared" si="521"/>
        <v>9</v>
      </c>
      <c r="BE193" s="164" t="str">
        <f t="shared" si="441"/>
        <v>N/A</v>
      </c>
      <c r="BF193" s="185"/>
      <c r="BG193" s="182">
        <f t="shared" si="522"/>
        <v>9</v>
      </c>
      <c r="BH193" s="164" t="str">
        <f t="shared" si="443"/>
        <v>N/A</v>
      </c>
      <c r="BI193" s="185"/>
      <c r="BJ193" s="182">
        <f t="shared" si="523"/>
        <v>9</v>
      </c>
      <c r="BK193" s="164" t="str">
        <f t="shared" si="445"/>
        <v>N/A</v>
      </c>
      <c r="BL193" s="847"/>
      <c r="BO193" s="167"/>
      <c r="BP193" s="167"/>
      <c r="BQ193" s="167" t="str">
        <f t="shared" si="342"/>
        <v/>
      </c>
      <c r="BR193" s="167">
        <f t="shared" si="396"/>
        <v>9</v>
      </c>
      <c r="BS193" s="167">
        <f t="shared" si="397"/>
        <v>9</v>
      </c>
      <c r="BT193" s="167">
        <f t="shared" si="398"/>
        <v>9</v>
      </c>
      <c r="BW193" s="314"/>
      <c r="BX193" s="314"/>
      <c r="BY193" s="314"/>
      <c r="BZ193" s="314"/>
      <c r="CA193" s="314"/>
      <c r="CB193" s="314"/>
    </row>
    <row r="194" spans="1:85" x14ac:dyDescent="0.25">
      <c r="A194" s="96">
        <v>186</v>
      </c>
      <c r="B194" s="96" t="str">
        <f t="shared" ref="B194:B196" si="524">$D$192&amp;D194</f>
        <v>LE 08b</v>
      </c>
      <c r="C194" s="96" t="str">
        <f t="shared" si="344"/>
        <v>LE 08</v>
      </c>
      <c r="D194" s="188" t="s">
        <v>697</v>
      </c>
      <c r="E194" s="1108" t="s">
        <v>961</v>
      </c>
      <c r="F194" s="775">
        <v>1</v>
      </c>
      <c r="G194" s="775">
        <v>1</v>
      </c>
      <c r="H194" s="775">
        <v>1</v>
      </c>
      <c r="I194" s="775">
        <v>1</v>
      </c>
      <c r="J194" s="775">
        <v>1</v>
      </c>
      <c r="K194" s="775">
        <v>1</v>
      </c>
      <c r="L194" s="775">
        <v>1</v>
      </c>
      <c r="M194" s="775">
        <v>1</v>
      </c>
      <c r="N194" s="775">
        <v>1</v>
      </c>
      <c r="O194" s="775">
        <v>1</v>
      </c>
      <c r="P194" s="775">
        <v>1</v>
      </c>
      <c r="Q194" s="775">
        <v>1</v>
      </c>
      <c r="R194" s="775">
        <v>1</v>
      </c>
      <c r="T194" s="221">
        <f t="shared" si="432"/>
        <v>1</v>
      </c>
      <c r="U194" s="192"/>
      <c r="V194" s="193"/>
      <c r="W194" s="193"/>
      <c r="X194" s="193"/>
      <c r="Y194" s="1166"/>
      <c r="Z194" s="168">
        <f>VLOOKUP(B194,'Manuell filtrering og justering'!$A$7:$H$253,'Manuell filtrering og justering'!$H$1,FALSE)</f>
        <v>1</v>
      </c>
      <c r="AA194" s="169">
        <f t="shared" si="434"/>
        <v>0</v>
      </c>
      <c r="AB194" s="170">
        <f>IF($AC$5='Manuell filtrering og justering'!$J$2,Z194,(T194-AA194))</f>
        <v>1</v>
      </c>
      <c r="AD194" s="171">
        <f t="shared" si="435"/>
        <v>7.8947368421052634E-3</v>
      </c>
      <c r="AE194" s="171">
        <f t="shared" si="447"/>
        <v>0</v>
      </c>
      <c r="AF194" s="171">
        <f t="shared" si="448"/>
        <v>0</v>
      </c>
      <c r="AG194" s="171">
        <f t="shared" si="449"/>
        <v>0</v>
      </c>
      <c r="AI194" s="1068">
        <f>IF(AI248=AD_no,0,IF(VLOOKUP(E194,'Pre-Assessment Estimator'!$E$11:$Z$225,'Pre-Assessment Estimator'!$G$2,FALSE)&gt;AB194,AB194,VLOOKUP(E194,'Pre-Assessment Estimator'!$E$11:$Z$225,'Pre-Assessment Estimator'!$G$2,FALSE)))</f>
        <v>0</v>
      </c>
      <c r="AJ194" s="1068">
        <f>IF(AJ248=AD_no,0,IF(VLOOKUP(E194,'Pre-Assessment Estimator'!$E$11:$Z$225,'Pre-Assessment Estimator'!$N$2,FALSE)&gt;AB194,AB194,VLOOKUP(E194,'Pre-Assessment Estimator'!$E$11:$Z$225,'Pre-Assessment Estimator'!$N$2,FALSE)))</f>
        <v>0</v>
      </c>
      <c r="AK194" s="1068">
        <f>IF(AK248=AD_no,0,IF(VLOOKUP(E194,'Pre-Assessment Estimator'!$E$11:$Z$225,'Pre-Assessment Estimator'!$U$2,FALSE)&gt;AB194,AB194,VLOOKUP(E194,'Pre-Assessment Estimator'!$E$11:$Z$225,'Pre-Assessment Estimator'!$U$2,FALSE)))</f>
        <v>0</v>
      </c>
      <c r="AM194" s="850"/>
      <c r="AN194" s="851"/>
      <c r="AO194" s="851"/>
      <c r="AP194" s="851"/>
      <c r="AQ194" s="843"/>
      <c r="AR194" s="139"/>
      <c r="AS194" s="850"/>
      <c r="AT194" s="851"/>
      <c r="AU194" s="851"/>
      <c r="AV194" s="851"/>
      <c r="AW194" s="843"/>
      <c r="AY194" s="731"/>
      <c r="AZ194" s="733"/>
      <c r="BA194" s="733"/>
      <c r="BB194" s="733"/>
      <c r="BC194" s="852"/>
      <c r="BD194" s="182">
        <f t="shared" si="521"/>
        <v>9</v>
      </c>
      <c r="BE194" s="164" t="str">
        <f t="shared" si="441"/>
        <v>N/A</v>
      </c>
      <c r="BF194" s="185"/>
      <c r="BG194" s="182">
        <f t="shared" si="522"/>
        <v>9</v>
      </c>
      <c r="BH194" s="164" t="str">
        <f t="shared" si="443"/>
        <v>N/A</v>
      </c>
      <c r="BI194" s="185"/>
      <c r="BJ194" s="182">
        <f t="shared" si="523"/>
        <v>9</v>
      </c>
      <c r="BK194" s="164" t="str">
        <f t="shared" si="445"/>
        <v>N/A</v>
      </c>
      <c r="BL194" s="847"/>
      <c r="BO194" s="167"/>
      <c r="BP194" s="167"/>
      <c r="BQ194" s="167" t="str">
        <f t="shared" si="342"/>
        <v/>
      </c>
      <c r="BR194" s="167">
        <f t="shared" si="396"/>
        <v>9</v>
      </c>
      <c r="BS194" s="167">
        <f t="shared" si="397"/>
        <v>9</v>
      </c>
      <c r="BT194" s="167">
        <f t="shared" si="398"/>
        <v>9</v>
      </c>
      <c r="BW194" s="314"/>
      <c r="BX194" s="314"/>
      <c r="BY194" s="314"/>
      <c r="BZ194" s="314"/>
      <c r="CA194" s="314"/>
      <c r="CB194" s="314"/>
    </row>
    <row r="195" spans="1:85" x14ac:dyDescent="0.25">
      <c r="A195" s="96">
        <v>187</v>
      </c>
      <c r="B195" s="96" t="str">
        <f t="shared" si="524"/>
        <v>LE 08c</v>
      </c>
      <c r="C195" s="96" t="str">
        <f t="shared" si="344"/>
        <v>LE 08</v>
      </c>
      <c r="D195" s="731" t="s">
        <v>698</v>
      </c>
      <c r="E195" s="1128" t="s">
        <v>689</v>
      </c>
      <c r="F195" s="941">
        <v>1</v>
      </c>
      <c r="G195" s="941">
        <v>1</v>
      </c>
      <c r="H195" s="941">
        <v>1</v>
      </c>
      <c r="I195" s="941">
        <v>1</v>
      </c>
      <c r="J195" s="941">
        <v>1</v>
      </c>
      <c r="K195" s="941">
        <v>1</v>
      </c>
      <c r="L195" s="941">
        <v>1</v>
      </c>
      <c r="M195" s="941">
        <v>1</v>
      </c>
      <c r="N195" s="941">
        <v>1</v>
      </c>
      <c r="O195" s="941">
        <v>1</v>
      </c>
      <c r="P195" s="941">
        <v>1</v>
      </c>
      <c r="Q195" s="941">
        <v>1</v>
      </c>
      <c r="R195" s="941">
        <v>1</v>
      </c>
      <c r="T195" s="221">
        <f t="shared" si="432"/>
        <v>1</v>
      </c>
      <c r="U195" s="192"/>
      <c r="V195" s="193"/>
      <c r="W195" s="193"/>
      <c r="X195" s="193"/>
      <c r="Y195" s="1166"/>
      <c r="Z195" s="168">
        <f>VLOOKUP(B195,'Manuell filtrering og justering'!$A$7:$H$253,'Manuell filtrering og justering'!$H$1,FALSE)</f>
        <v>1</v>
      </c>
      <c r="AA195" s="169">
        <f t="shared" si="434"/>
        <v>0</v>
      </c>
      <c r="AB195" s="170">
        <f>IF($AC$5='Manuell filtrering og justering'!$J$2,Z195,(T195-AA195))</f>
        <v>1</v>
      </c>
      <c r="AD195" s="171">
        <f t="shared" ref="AD195" si="525">(LE_Weight/LE_Credits)*AB195</f>
        <v>7.8947368421052634E-3</v>
      </c>
      <c r="AE195" s="171">
        <f t="shared" ref="AE195" si="526">IF(AB195=0,0,(AD195/AB195)*AI195)</f>
        <v>0</v>
      </c>
      <c r="AF195" s="171">
        <f t="shared" ref="AF195" si="527">IF(AB195=0,0,(AD195/AB195)*AJ195)</f>
        <v>0</v>
      </c>
      <c r="AG195" s="171">
        <f t="shared" ref="AG195" si="528">IF(AB195=0,0,(AD195/AB195)*AK195)</f>
        <v>0</v>
      </c>
      <c r="AI195" s="1068">
        <f>IF(AI248=AD_no,0,IF(VLOOKUP(E195,'Pre-Assessment Estimator'!$E$11:$Z$225,'Pre-Assessment Estimator'!$G$2,FALSE)&gt;AB195,AB195,VLOOKUP(E195,'Pre-Assessment Estimator'!$E$11:$Z$225,'Pre-Assessment Estimator'!$G$2,FALSE)))</f>
        <v>0</v>
      </c>
      <c r="AJ195" s="1068">
        <f>IF(AJ248=AD_no,0,IF(VLOOKUP(E195,'Pre-Assessment Estimator'!$E$11:$Z$225,'Pre-Assessment Estimator'!$N$2,FALSE)&gt;AB195,AB195,VLOOKUP(E195,'Pre-Assessment Estimator'!$E$11:$Z$225,'Pre-Assessment Estimator'!$N$2,FALSE)))</f>
        <v>0</v>
      </c>
      <c r="AK195" s="1068">
        <f>IF(AK248=AD_no,0,IF(VLOOKUP(E195,'Pre-Assessment Estimator'!$E$11:$Z$225,'Pre-Assessment Estimator'!$U$2,FALSE)&gt;AB195,AB195,VLOOKUP(E195,'Pre-Assessment Estimator'!$E$11:$Z$225,'Pre-Assessment Estimator'!$U$2,FALSE)))</f>
        <v>0</v>
      </c>
      <c r="AM195" s="850"/>
      <c r="AN195" s="851"/>
      <c r="AO195" s="851"/>
      <c r="AP195" s="851"/>
      <c r="AQ195" s="843"/>
      <c r="AR195" s="139"/>
      <c r="AS195" s="850"/>
      <c r="AT195" s="851"/>
      <c r="AU195" s="851"/>
      <c r="AV195" s="851"/>
      <c r="AW195" s="843"/>
      <c r="AY195" s="731"/>
      <c r="AZ195" s="733"/>
      <c r="BA195" s="733"/>
      <c r="BB195" s="733"/>
      <c r="BC195" s="852"/>
      <c r="BD195" s="182">
        <f t="shared" ref="BD195" si="529">IF(BC195=0,9,IF(AI195&gt;=BC195,5,IF(AI195&gt;=BB195,4,IF(AI195&gt;=BA195,3,IF(AI195&gt;=AZ195,2,IF(AI195&lt;AY195,0,1))))))</f>
        <v>9</v>
      </c>
      <c r="BE195" s="164" t="str">
        <f t="shared" si="441"/>
        <v>N/A</v>
      </c>
      <c r="BF195" s="185"/>
      <c r="BG195" s="182">
        <f t="shared" ref="BG195" si="530">IF(BC195=0,9,IF(AJ195&gt;=BC195,5,IF(AJ195&gt;=BB195,4,IF(AJ195&gt;=BA195,3,IF(AJ195&gt;=AZ195,2,IF(AJ195&lt;AY195,0,1))))))</f>
        <v>9</v>
      </c>
      <c r="BH195" s="164" t="str">
        <f t="shared" si="443"/>
        <v>N/A</v>
      </c>
      <c r="BI195" s="185"/>
      <c r="BJ195" s="182">
        <f t="shared" ref="BJ195" si="531">IF(BC195=0,9,IF(AK195&gt;=BC195,5,IF(AK195&gt;=BB195,4,IF(AK195&gt;=BA195,3,IF(AK195&gt;=AZ195,2,IF(AK195&lt;AY195,0,1))))))</f>
        <v>9</v>
      </c>
      <c r="BK195" s="164" t="str">
        <f t="shared" si="445"/>
        <v>N/A</v>
      </c>
      <c r="BL195" s="847"/>
      <c r="BO195" s="167"/>
      <c r="BP195" s="167"/>
      <c r="BQ195" s="167" t="str">
        <f t="shared" si="342"/>
        <v/>
      </c>
      <c r="BR195" s="167">
        <f t="shared" si="396"/>
        <v>9</v>
      </c>
      <c r="BS195" s="167">
        <f t="shared" si="397"/>
        <v>9</v>
      </c>
      <c r="BT195" s="167">
        <f t="shared" si="398"/>
        <v>9</v>
      </c>
      <c r="BW195" s="314"/>
      <c r="BX195" s="314"/>
      <c r="BY195" s="314"/>
      <c r="BZ195" s="314"/>
      <c r="CA195" s="314"/>
      <c r="CB195" s="314"/>
    </row>
    <row r="196" spans="1:85" ht="15.75" thickBot="1" x14ac:dyDescent="0.3">
      <c r="A196" s="96">
        <v>188</v>
      </c>
      <c r="B196" s="96" t="str">
        <f t="shared" si="524"/>
        <v>LE 08d</v>
      </c>
      <c r="C196" s="96" t="str">
        <f t="shared" si="344"/>
        <v>LE 08</v>
      </c>
      <c r="D196" s="731" t="s">
        <v>696</v>
      </c>
      <c r="E196" s="1128" t="s">
        <v>690</v>
      </c>
      <c r="F196" s="941">
        <v>1</v>
      </c>
      <c r="G196" s="941">
        <v>1</v>
      </c>
      <c r="H196" s="941">
        <v>1</v>
      </c>
      <c r="I196" s="941">
        <v>1</v>
      </c>
      <c r="J196" s="941">
        <v>1</v>
      </c>
      <c r="K196" s="941">
        <v>1</v>
      </c>
      <c r="L196" s="941">
        <v>1</v>
      </c>
      <c r="M196" s="941">
        <v>1</v>
      </c>
      <c r="N196" s="941">
        <v>1</v>
      </c>
      <c r="O196" s="941">
        <v>1</v>
      </c>
      <c r="P196" s="941">
        <v>1</v>
      </c>
      <c r="Q196" s="941">
        <v>1</v>
      </c>
      <c r="R196" s="941">
        <v>1</v>
      </c>
      <c r="T196" s="221">
        <f t="shared" si="432"/>
        <v>1</v>
      </c>
      <c r="U196" s="192"/>
      <c r="V196" s="193"/>
      <c r="W196" s="193"/>
      <c r="X196" s="193"/>
      <c r="Y196" s="1166"/>
      <c r="Z196" s="168">
        <f>VLOOKUP(B196,'Manuell filtrering og justering'!$A$7:$H$253,'Manuell filtrering og justering'!$H$1,FALSE)</f>
        <v>0</v>
      </c>
      <c r="AA196" s="169">
        <f t="shared" si="434"/>
        <v>0</v>
      </c>
      <c r="AB196" s="170">
        <f>IF($AC$5='Manuell filtrering og justering'!$J$2,Z196,(T196-AA196))</f>
        <v>1</v>
      </c>
      <c r="AD196" s="171">
        <f t="shared" si="435"/>
        <v>7.8947368421052634E-3</v>
      </c>
      <c r="AE196" s="171">
        <f t="shared" si="447"/>
        <v>0</v>
      </c>
      <c r="AF196" s="171">
        <f t="shared" si="448"/>
        <v>0</v>
      </c>
      <c r="AG196" s="171">
        <f t="shared" si="449"/>
        <v>0</v>
      </c>
      <c r="AI196" s="1068">
        <f>IF(AI248=AD_no,0,IF(VLOOKUP(E196,'Pre-Assessment Estimator'!$E$11:$Z$225,'Pre-Assessment Estimator'!$G$2,FALSE)&gt;AB196,AB196,VLOOKUP(E196,'Pre-Assessment Estimator'!$E$11:$Z$225,'Pre-Assessment Estimator'!$G$2,FALSE)))</f>
        <v>0</v>
      </c>
      <c r="AJ196" s="1068">
        <f>IF(AJ248=AD_no,0,IF(VLOOKUP(E196,'Pre-Assessment Estimator'!$E$11:$Z$225,'Pre-Assessment Estimator'!$N$2,FALSE)&gt;AB196,AB196,VLOOKUP(E196,'Pre-Assessment Estimator'!$E$11:$Z$225,'Pre-Assessment Estimator'!$N$2,FALSE)))</f>
        <v>0</v>
      </c>
      <c r="AK196" s="1068">
        <f>IF(AK248=AD_no,0,IF(VLOOKUP(E196,'Pre-Assessment Estimator'!$E$11:$Z$225,'Pre-Assessment Estimator'!$U$2,FALSE)&gt;AB196,AB196,VLOOKUP(E196,'Pre-Assessment Estimator'!$E$11:$Z$225,'Pre-Assessment Estimator'!$U$2,FALSE)))</f>
        <v>0</v>
      </c>
      <c r="AM196" s="850"/>
      <c r="AN196" s="851"/>
      <c r="AO196" s="851"/>
      <c r="AP196" s="851"/>
      <c r="AQ196" s="843"/>
      <c r="AR196" s="139"/>
      <c r="AS196" s="850"/>
      <c r="AT196" s="851"/>
      <c r="AU196" s="851"/>
      <c r="AV196" s="851"/>
      <c r="AW196" s="843"/>
      <c r="AY196" s="731"/>
      <c r="AZ196" s="733"/>
      <c r="BA196" s="733"/>
      <c r="BB196" s="733"/>
      <c r="BC196" s="852"/>
      <c r="BD196" s="182">
        <f t="shared" si="521"/>
        <v>9</v>
      </c>
      <c r="BE196" s="164" t="str">
        <f t="shared" si="441"/>
        <v>N/A</v>
      </c>
      <c r="BF196" s="185"/>
      <c r="BG196" s="182">
        <f t="shared" si="522"/>
        <v>9</v>
      </c>
      <c r="BH196" s="164" t="str">
        <f t="shared" si="443"/>
        <v>N/A</v>
      </c>
      <c r="BI196" s="185"/>
      <c r="BJ196" s="182">
        <f t="shared" si="523"/>
        <v>9</v>
      </c>
      <c r="BK196" s="164" t="str">
        <f t="shared" si="445"/>
        <v>N/A</v>
      </c>
      <c r="BL196" s="847"/>
      <c r="BO196" s="167"/>
      <c r="BP196" s="167"/>
      <c r="BQ196" s="167" t="str">
        <f t="shared" si="342"/>
        <v/>
      </c>
      <c r="BR196" s="167">
        <f t="shared" si="396"/>
        <v>9</v>
      </c>
      <c r="BS196" s="167">
        <f t="shared" si="397"/>
        <v>9</v>
      </c>
      <c r="BT196" s="167">
        <f t="shared" si="398"/>
        <v>9</v>
      </c>
      <c r="BW196" s="314"/>
      <c r="BX196" s="314"/>
      <c r="BY196" s="314"/>
      <c r="BZ196" s="314"/>
      <c r="CA196" s="314"/>
      <c r="CB196" s="314"/>
    </row>
    <row r="197" spans="1:85" ht="15.75" thickBot="1" x14ac:dyDescent="0.3">
      <c r="A197" s="96">
        <v>189</v>
      </c>
      <c r="B197" s="96" t="s">
        <v>890</v>
      </c>
      <c r="D197" s="201"/>
      <c r="E197" s="202" t="s">
        <v>215</v>
      </c>
      <c r="F197" s="773">
        <f>F169+F171+F175+F179+F183+F187+F189+F192</f>
        <v>19</v>
      </c>
      <c r="G197" s="773">
        <f t="shared" ref="G197:R197" si="532">G169+G171+G175+G179+G183+G187+G189+G192</f>
        <v>19</v>
      </c>
      <c r="H197" s="773">
        <f t="shared" si="532"/>
        <v>19</v>
      </c>
      <c r="I197" s="773">
        <f t="shared" si="532"/>
        <v>19</v>
      </c>
      <c r="J197" s="773">
        <f t="shared" si="532"/>
        <v>19</v>
      </c>
      <c r="K197" s="773">
        <f t="shared" si="532"/>
        <v>19</v>
      </c>
      <c r="L197" s="773">
        <f t="shared" si="532"/>
        <v>19</v>
      </c>
      <c r="M197" s="773">
        <f t="shared" si="532"/>
        <v>19</v>
      </c>
      <c r="N197" s="773">
        <f t="shared" si="532"/>
        <v>19</v>
      </c>
      <c r="O197" s="773">
        <f t="shared" si="532"/>
        <v>19</v>
      </c>
      <c r="P197" s="773">
        <f t="shared" si="532"/>
        <v>19</v>
      </c>
      <c r="Q197" s="1127">
        <f t="shared" ref="Q197" si="533">Q169+Q171+Q175+Q179+Q183+Q187+Q189+Q192</f>
        <v>19</v>
      </c>
      <c r="R197" s="1127">
        <f t="shared" si="532"/>
        <v>19</v>
      </c>
      <c r="T197" s="226">
        <f t="shared" si="432"/>
        <v>19</v>
      </c>
      <c r="U197" s="204"/>
      <c r="V197" s="205"/>
      <c r="W197" s="205"/>
      <c r="X197" s="205"/>
      <c r="Y197" s="206"/>
      <c r="Z197" s="206"/>
      <c r="AA197" s="774">
        <f t="shared" ref="AA197:AG197" si="534">AA169+AA171+AA175+AA179+AA183+AA187+AA189+AA192</f>
        <v>0</v>
      </c>
      <c r="AB197" s="774">
        <f t="shared" si="534"/>
        <v>19</v>
      </c>
      <c r="AD197" s="208">
        <f t="shared" si="534"/>
        <v>0.15</v>
      </c>
      <c r="AE197" s="208">
        <f t="shared" si="534"/>
        <v>0</v>
      </c>
      <c r="AF197" s="208">
        <f t="shared" si="534"/>
        <v>0</v>
      </c>
      <c r="AG197" s="208">
        <f t="shared" si="534"/>
        <v>0</v>
      </c>
      <c r="AI197" s="78">
        <f t="shared" ref="AI197:AK197" si="535">AI169+AI171+AI175+AI179+AI183+AI187+AI189+AI192</f>
        <v>0</v>
      </c>
      <c r="AJ197" s="78">
        <f t="shared" si="535"/>
        <v>0</v>
      </c>
      <c r="AK197" s="78">
        <f t="shared" si="535"/>
        <v>0</v>
      </c>
      <c r="AM197" s="139"/>
      <c r="AN197" s="139"/>
      <c r="AO197" s="139"/>
      <c r="AP197" s="139"/>
      <c r="AQ197" s="139"/>
      <c r="AR197" s="139"/>
      <c r="AS197" s="139"/>
      <c r="AT197" s="139"/>
      <c r="AU197" s="139"/>
      <c r="AV197" s="139"/>
      <c r="AW197" s="139"/>
      <c r="AY197" s="97"/>
      <c r="AZ197" s="209"/>
      <c r="BA197" s="97"/>
      <c r="BB197" s="97"/>
      <c r="BC197" s="97"/>
      <c r="BW197" s="202"/>
      <c r="BX197" s="202" t="str">
        <f>IFERROR(VLOOKUP($E197,'Pre-Assessment Estimator'!$E$11:$AB$225,'Pre-Assessment Estimator'!AB$2,FALSE),"")</f>
        <v/>
      </c>
      <c r="BY197" s="202" t="str">
        <f>IFERROR(VLOOKUP($E197,'Pre-Assessment Estimator'!$E$11:$AI$225,'Pre-Assessment Estimator'!AI$2,FALSE),"")</f>
        <v/>
      </c>
      <c r="BZ197" s="202" t="str">
        <f t="shared" ref="BZ197:CA199" si="536">IFERROR(VLOOKUP($BX197,$E$292:$H$325,F$290,FALSE),"")</f>
        <v/>
      </c>
      <c r="CA197" s="202" t="str">
        <f t="shared" si="536"/>
        <v/>
      </c>
      <c r="CB197" s="202"/>
      <c r="CC197" s="96" t="str">
        <f>IFERROR(VLOOKUP($BX197,$E$292:$H$325,I$290,FALSE),"")</f>
        <v/>
      </c>
    </row>
    <row r="198" spans="1:85" ht="15.75" thickBot="1" x14ac:dyDescent="0.3">
      <c r="A198" s="96">
        <v>190</v>
      </c>
      <c r="AI198" s="3"/>
      <c r="AJ198" s="3"/>
      <c r="AK198" s="3"/>
      <c r="AM198" s="139"/>
      <c r="AN198" s="139"/>
      <c r="AO198" s="139"/>
      <c r="AP198" s="139"/>
      <c r="AQ198" s="139"/>
      <c r="AR198" s="139"/>
      <c r="AS198" s="139"/>
      <c r="AT198" s="139"/>
      <c r="AU198" s="139"/>
      <c r="AV198" s="139"/>
      <c r="AW198" s="139"/>
      <c r="AY198" s="97"/>
      <c r="AZ198" s="97"/>
      <c r="BA198" s="97"/>
      <c r="BB198" s="97"/>
      <c r="BC198" s="97"/>
      <c r="BX198" s="96" t="str">
        <f>IFERROR(VLOOKUP($E198,'Pre-Assessment Estimator'!$E$11:$AB$225,'Pre-Assessment Estimator'!AB$2,FALSE),"")</f>
        <v/>
      </c>
      <c r="BY198" s="96" t="str">
        <f>IFERROR(VLOOKUP($E198,'Pre-Assessment Estimator'!$E$11:$AI$225,'Pre-Assessment Estimator'!AI$2,FALSE),"")</f>
        <v/>
      </c>
      <c r="BZ198" s="96" t="str">
        <f t="shared" si="536"/>
        <v/>
      </c>
      <c r="CA198" s="96" t="str">
        <f t="shared" si="536"/>
        <v/>
      </c>
      <c r="CC198" s="96" t="str">
        <f>IFERROR(VLOOKUP($BX198,$E$292:$H$325,I$290,FALSE),"")</f>
        <v/>
      </c>
    </row>
    <row r="199" spans="1:85" ht="60.75" thickBot="1" x14ac:dyDescent="0.3">
      <c r="A199" s="96">
        <v>191</v>
      </c>
      <c r="D199" s="151"/>
      <c r="E199" s="152" t="s">
        <v>72</v>
      </c>
      <c r="F199" s="1243" t="str">
        <f>$F$9</f>
        <v>Office</v>
      </c>
      <c r="G199" s="1243" t="str">
        <f>$G$9</f>
        <v>Retail</v>
      </c>
      <c r="H199" s="1247" t="str">
        <f>$H$9</f>
        <v>Residential</v>
      </c>
      <c r="I199" s="1243" t="str">
        <f>$I$9</f>
        <v>Industrial</v>
      </c>
      <c r="J199" s="1245" t="str">
        <f>$J$9</f>
        <v>Healthcare</v>
      </c>
      <c r="K199" s="1245" t="str">
        <f>$K$9</f>
        <v>Prison</v>
      </c>
      <c r="L199" s="1245" t="str">
        <f>$L$9</f>
        <v>Law Court</v>
      </c>
      <c r="M199" s="1249" t="str">
        <f>$M$9</f>
        <v>Residential institution (long term stay)</v>
      </c>
      <c r="N199" s="918" t="str">
        <f>$N$9</f>
        <v>Residential institution (short term stay)</v>
      </c>
      <c r="O199" s="918" t="str">
        <f>$O$9</f>
        <v>Non-residential institution</v>
      </c>
      <c r="P199" s="918" t="str">
        <f>$P$9</f>
        <v>Assembly and leisure</v>
      </c>
      <c r="Q199" s="1245" t="str">
        <f>$Q$9</f>
        <v>Education</v>
      </c>
      <c r="R199" s="857" t="str">
        <f>$R$9</f>
        <v>Other</v>
      </c>
      <c r="T199" s="138" t="str">
        <f>$E$6</f>
        <v>Office</v>
      </c>
      <c r="U199" s="210"/>
      <c r="V199" s="211"/>
      <c r="W199" s="1106"/>
      <c r="X199" s="211"/>
      <c r="Y199" s="1167" t="s">
        <v>413</v>
      </c>
      <c r="Z199" s="347" t="s">
        <v>336</v>
      </c>
      <c r="AA199" s="150" t="s">
        <v>215</v>
      </c>
      <c r="AB199" s="59" t="s">
        <v>15</v>
      </c>
      <c r="AI199" s="42"/>
      <c r="AJ199" s="60"/>
      <c r="AK199" s="60"/>
      <c r="AM199" s="139"/>
      <c r="AN199" s="139"/>
      <c r="AO199" s="139"/>
      <c r="AP199" s="139"/>
      <c r="AQ199" s="139"/>
      <c r="AR199" s="139"/>
      <c r="AS199" s="139"/>
      <c r="AT199" s="139"/>
      <c r="AU199" s="139"/>
      <c r="AV199" s="139"/>
      <c r="AW199" s="139"/>
      <c r="AY199" s="97"/>
      <c r="AZ199" s="97"/>
      <c r="BA199" s="97"/>
      <c r="BB199" s="97"/>
      <c r="BC199" s="97"/>
      <c r="BO199" s="60"/>
      <c r="BP199" s="60"/>
      <c r="BQ199" s="60"/>
      <c r="BR199" s="60"/>
      <c r="BS199" s="60"/>
      <c r="BT199" s="60"/>
      <c r="BW199" s="146"/>
      <c r="BX199" s="146" t="str">
        <f>E199</f>
        <v>Pollution</v>
      </c>
      <c r="BY199" s="146">
        <f>IFERROR(VLOOKUP($E199,'Pre-Assessment Estimator'!$E$11:$AI$225,'Pre-Assessment Estimator'!AI$2,FALSE),"")</f>
        <v>0</v>
      </c>
      <c r="BZ199" s="146" t="str">
        <f t="shared" si="536"/>
        <v/>
      </c>
      <c r="CA199" s="146" t="str">
        <f t="shared" si="536"/>
        <v/>
      </c>
      <c r="CB199" s="146"/>
      <c r="CC199" s="96" t="str">
        <f>IFERROR(VLOOKUP($BX199,$E$292:$H$325,I$290,FALSE),"")</f>
        <v/>
      </c>
    </row>
    <row r="200" spans="1:85" x14ac:dyDescent="0.25">
      <c r="A200" s="96">
        <v>192</v>
      </c>
      <c r="B200" s="137" t="str">
        <f>D200</f>
        <v>POL 01</v>
      </c>
      <c r="C200" s="137" t="str">
        <f>B200</f>
        <v>POL 01</v>
      </c>
      <c r="D200" s="858" t="s">
        <v>186</v>
      </c>
      <c r="E200" s="859" t="s">
        <v>165</v>
      </c>
      <c r="F200" s="951">
        <v>3</v>
      </c>
      <c r="G200" s="951">
        <v>3</v>
      </c>
      <c r="H200" s="951">
        <v>3</v>
      </c>
      <c r="I200" s="951">
        <v>3</v>
      </c>
      <c r="J200" s="951">
        <v>3</v>
      </c>
      <c r="K200" s="951">
        <v>3</v>
      </c>
      <c r="L200" s="951">
        <v>3</v>
      </c>
      <c r="M200" s="951">
        <v>3</v>
      </c>
      <c r="N200" s="951">
        <v>3</v>
      </c>
      <c r="O200" s="951">
        <v>3</v>
      </c>
      <c r="P200" s="951">
        <v>3</v>
      </c>
      <c r="Q200" s="951">
        <v>3</v>
      </c>
      <c r="R200" s="951">
        <v>3</v>
      </c>
      <c r="T200" s="961">
        <f t="shared" ref="T200:T206" si="537">HLOOKUP($E$6,$F$9:$R$231,$A200,FALSE)</f>
        <v>3</v>
      </c>
      <c r="U200" s="222"/>
      <c r="V200" s="1099"/>
      <c r="W200" s="150" t="s">
        <v>391</v>
      </c>
      <c r="X200" s="1100">
        <f>'Manuell filtrering og justering'!E86</f>
        <v>0</v>
      </c>
      <c r="Y200" s="1161"/>
      <c r="Z200" s="980">
        <f>SUM(AB201:AB203)</f>
        <v>3</v>
      </c>
      <c r="AA200" s="963">
        <f t="shared" ref="AA200:AA206" si="538">IF(SUM(U200:Y200)&gt;T200,T200,SUM(U200:Y200))</f>
        <v>0</v>
      </c>
      <c r="AB200" s="1067">
        <f>SUM(AB201:AB203)</f>
        <v>3</v>
      </c>
      <c r="AD200" s="171">
        <f t="shared" ref="AD200:AD213" si="539">(Pol_Weight/Pol_Credits)*AB200</f>
        <v>1.7142857142857144E-2</v>
      </c>
      <c r="AE200" s="921">
        <f>IF(SUM(AE201:AE203)&gt;$AD$200,$AD$200,SUM(AE201:AE203))</f>
        <v>0</v>
      </c>
      <c r="AF200" s="921">
        <f>IF(SUM(AF201:AF203)&gt;$AD$200,$AD$200,SUM(AF201:AF203))</f>
        <v>0</v>
      </c>
      <c r="AG200" s="921">
        <f>IF(SUM(AG201:AG203)&gt;$AD$200,$AD$200,SUM(AG201:AG203))</f>
        <v>0</v>
      </c>
      <c r="AI200" s="958">
        <f>IF(SUM(AI201:AI203)&gt;Pol01_credits,Pol01_credits,SUM(AI201:AI203))</f>
        <v>0</v>
      </c>
      <c r="AJ200" s="958">
        <f>IF(SUM(AJ201:AJ203)&gt;Pol01_credits,Pol01_credits,SUM(AJ201:AJ203))</f>
        <v>0</v>
      </c>
      <c r="AK200" s="958">
        <f>IF(SUM(AK201:AK203)&gt;Pol01_credits,Pol01_credits,SUM(AK201:AK203))</f>
        <v>0</v>
      </c>
      <c r="AL200" s="96" t="s">
        <v>427</v>
      </c>
      <c r="AM200" s="298"/>
      <c r="AN200" s="299"/>
      <c r="AO200" s="299"/>
      <c r="AP200" s="299"/>
      <c r="AQ200" s="300"/>
      <c r="AR200" s="139"/>
      <c r="AS200" s="298"/>
      <c r="AT200" s="299"/>
      <c r="AU200" s="299"/>
      <c r="AV200" s="299"/>
      <c r="AW200" s="300"/>
      <c r="AY200" s="218"/>
      <c r="AZ200" s="219"/>
      <c r="BA200" s="219"/>
      <c r="BB200" s="219"/>
      <c r="BC200" s="220">
        <f t="shared" ref="BC200:BC223" si="540">IF($E$6=$H$9,AW200,AQ200)</f>
        <v>0</v>
      </c>
      <c r="BD200" s="174">
        <f t="shared" si="461"/>
        <v>9</v>
      </c>
      <c r="BE200" s="164" t="str">
        <f t="shared" ref="BE200:BE213" si="541">VLOOKUP(BD200,$BO$283:$BT$289,6,FALSE)</f>
        <v>N/A</v>
      </c>
      <c r="BF200" s="178"/>
      <c r="BG200" s="174">
        <f>IF(BC200=0,9,IF(AJ200&gt;=BC200,5,IF(AJ200&gt;=BB200,4,IF(AJ200&gt;=BA200,3,IF(AJ200&gt;=AZ200,2,IF(AJ200&lt;AY200,0,1))))))</f>
        <v>9</v>
      </c>
      <c r="BH200" s="164" t="str">
        <f t="shared" ref="BH200:BH213" si="542">VLOOKUP(BG200,$BO$283:$BT$289,6,FALSE)</f>
        <v>N/A</v>
      </c>
      <c r="BI200" s="178"/>
      <c r="BJ200" s="174">
        <f t="shared" si="444"/>
        <v>9</v>
      </c>
      <c r="BK200" s="164" t="str">
        <f t="shared" ref="BK200:BK213" si="543">VLOOKUP(BJ200,$BO$283:$BT$289,6,FALSE)</f>
        <v>N/A</v>
      </c>
      <c r="BL200" s="178"/>
      <c r="BO200" s="167"/>
      <c r="BP200" s="167"/>
      <c r="BQ200" s="167" t="str">
        <f t="shared" si="342"/>
        <v/>
      </c>
      <c r="BR200" s="167">
        <f t="shared" si="396"/>
        <v>9</v>
      </c>
      <c r="BS200" s="167">
        <f t="shared" si="397"/>
        <v>9</v>
      </c>
      <c r="BT200" s="167">
        <f t="shared" si="398"/>
        <v>9</v>
      </c>
      <c r="BW200" s="164" t="str">
        <f>D200</f>
        <v>POL 01</v>
      </c>
      <c r="BX200" s="164" t="str">
        <f>IFERROR(VLOOKUP($E200,'Pre-Assessment Estimator'!$E$11:$AB$225,'Pre-Assessment Estimator'!AB$2,FALSE),"")</f>
        <v>No</v>
      </c>
      <c r="BY200" s="674" t="str">
        <f>IFERROR(VLOOKUP($E200,'Pre-Assessment Estimator'!$E$11:$AI$225,'Pre-Assessment Estimator'!AI$2,FALSE),"")</f>
        <v>Ja</v>
      </c>
      <c r="BZ200" s="164">
        <f>IFERROR(VLOOKUP($BX200,$E$292:$H$325,F$290,FALSE),"")</f>
        <v>1</v>
      </c>
      <c r="CA200" s="680" t="s">
        <v>432</v>
      </c>
      <c r="CB200" s="164"/>
      <c r="CC200" s="96" t="str">
        <f>IFERROR(VLOOKUP($BX200,$E$292:$H$325,I$290,FALSE),"")</f>
        <v/>
      </c>
      <c r="CD200" s="96" t="s">
        <v>438</v>
      </c>
      <c r="CE200" s="167">
        <f>VLOOKUP(CA200,$CA$4:$CB$5,2,FALSE)</f>
        <v>1</v>
      </c>
      <c r="CG200" s="681">
        <f>IF($BX$5=ais_nei,CE200,IF(AND(CA200=$CA$4,BX200=$CC$4),0,BZ200))</f>
        <v>1</v>
      </c>
    </row>
    <row r="201" spans="1:85" x14ac:dyDescent="0.25">
      <c r="A201" s="96">
        <v>193</v>
      </c>
      <c r="B201" s="96" t="str">
        <f t="shared" ref="B201:B203" si="544">$D$200&amp;D201</f>
        <v>POL 01a</v>
      </c>
      <c r="C201" s="96" t="str">
        <f t="shared" si="344"/>
        <v>POL 01</v>
      </c>
      <c r="D201" s="166" t="s">
        <v>694</v>
      </c>
      <c r="E201" s="917" t="s">
        <v>900</v>
      </c>
      <c r="F201" s="775">
        <v>3</v>
      </c>
      <c r="G201" s="775">
        <v>3</v>
      </c>
      <c r="H201" s="775">
        <v>3</v>
      </c>
      <c r="I201" s="775">
        <v>3</v>
      </c>
      <c r="J201" s="775">
        <v>3</v>
      </c>
      <c r="K201" s="775">
        <v>3</v>
      </c>
      <c r="L201" s="775">
        <v>3</v>
      </c>
      <c r="M201" s="775">
        <v>3</v>
      </c>
      <c r="N201" s="775">
        <v>3</v>
      </c>
      <c r="O201" s="775">
        <v>3</v>
      </c>
      <c r="P201" s="775">
        <v>3</v>
      </c>
      <c r="Q201" s="775">
        <v>3</v>
      </c>
      <c r="R201" s="775">
        <v>3</v>
      </c>
      <c r="T201" s="221">
        <f t="shared" si="537"/>
        <v>3</v>
      </c>
      <c r="U201" s="222">
        <f>IF('Assessment Details'!F24=AD_Yes,Poeng!T201,0)</f>
        <v>0</v>
      </c>
      <c r="V201" s="190"/>
      <c r="W201" s="963">
        <f>IF('Assessment Details'!F24=AD_Yes,Poeng!Z201,0)</f>
        <v>0</v>
      </c>
      <c r="X201" s="239"/>
      <c r="Y201" s="169">
        <f>IF($Y$4=$Y$6,T201,0)</f>
        <v>0</v>
      </c>
      <c r="Z201" s="168">
        <f>VLOOKUP(B201,'Manuell filtrering og justering'!$A$7:$H$253,'Manuell filtrering og justering'!$H$1,FALSE)</f>
        <v>3</v>
      </c>
      <c r="AA201" s="169">
        <f t="shared" si="538"/>
        <v>0</v>
      </c>
      <c r="AB201" s="1037">
        <f>IF($AC$5='Manuell filtrering og justering'!$J$2,Z201-W201,(T201-AA201))</f>
        <v>3</v>
      </c>
      <c r="AD201" s="171">
        <f t="shared" si="539"/>
        <v>1.7142857142857144E-2</v>
      </c>
      <c r="AE201" s="171">
        <f t="shared" ref="AE201:AE213" si="545">IF(AB201=0,0,(AD201/AB201)*AI201)</f>
        <v>0</v>
      </c>
      <c r="AF201" s="171">
        <f t="shared" ref="AF201:AF213" si="546">IF(AB201=0,0,(AD201/AB201)*AJ201)</f>
        <v>0</v>
      </c>
      <c r="AG201" s="171">
        <f t="shared" ref="AG201:AG213" si="547">IF(AB201=0,0,(AD201/AB201)*AK201)</f>
        <v>0</v>
      </c>
      <c r="AI201" s="172">
        <f>IF(VLOOKUP(E201,'Pre-Assessment Estimator'!$E$11:$Z$225,'Pre-Assessment Estimator'!$G$2,FALSE)&gt;AB201,AB201,VLOOKUP(E201,'Pre-Assessment Estimator'!$E$11:$Z$225,'Pre-Assessment Estimator'!$G$2,FALSE))</f>
        <v>0</v>
      </c>
      <c r="AJ201" s="172">
        <f>IF(VLOOKUP(E201,'Pre-Assessment Estimator'!$E$11:$Z$225,'Pre-Assessment Estimator'!$N$2,FALSE)&gt;AB201,AB201,VLOOKUP(E201,'Pre-Assessment Estimator'!$E$11:$Z$225,'Pre-Assessment Estimator'!$N$2,FALSE))</f>
        <v>0</v>
      </c>
      <c r="AK201" s="172">
        <f>IF(VLOOKUP(E201,'Pre-Assessment Estimator'!$E$11:$Z$225,'Pre-Assessment Estimator'!$U$2,FALSE)&gt;AB201,AB201,VLOOKUP(E201,'Pre-Assessment Estimator'!$E$11:$Z$225,'Pre-Assessment Estimator'!$U$2,FALSE))</f>
        <v>0</v>
      </c>
      <c r="AM201" s="835"/>
      <c r="AN201" s="836"/>
      <c r="AO201" s="836"/>
      <c r="AP201" s="836"/>
      <c r="AQ201" s="837"/>
      <c r="AR201" s="139"/>
      <c r="AS201" s="835"/>
      <c r="AT201" s="836"/>
      <c r="AU201" s="836"/>
      <c r="AV201" s="836"/>
      <c r="AW201" s="837"/>
      <c r="AY201" s="708"/>
      <c r="AZ201" s="709"/>
      <c r="BA201" s="709"/>
      <c r="BB201" s="709"/>
      <c r="BC201" s="838"/>
      <c r="BD201" s="182">
        <f t="shared" ref="BD201:BD203" si="548">IF(BC201=0,9,IF(AI201&gt;=BC201,5,IF(AI201&gt;=BB201,4,IF(AI201&gt;=BA201,3,IF(AI201&gt;=AZ201,2,IF(AI201&lt;AY201,0,1))))))</f>
        <v>9</v>
      </c>
      <c r="BE201" s="164" t="str">
        <f t="shared" si="541"/>
        <v>N/A</v>
      </c>
      <c r="BF201" s="185"/>
      <c r="BG201" s="182">
        <f t="shared" ref="BG201:BG203" si="549">IF(BC201=0,9,IF(AJ201&gt;=BC201,5,IF(AJ201&gt;=BB201,4,IF(AJ201&gt;=BA201,3,IF(AJ201&gt;=AZ201,2,IF(AJ201&lt;AY201,0,1))))))</f>
        <v>9</v>
      </c>
      <c r="BH201" s="164" t="str">
        <f t="shared" si="542"/>
        <v>N/A</v>
      </c>
      <c r="BI201" s="185"/>
      <c r="BJ201" s="182">
        <f t="shared" ref="BJ201:BJ203" si="550">IF(BC201=0,9,IF(AK201&gt;=BC201,5,IF(AK201&gt;=BB201,4,IF(AK201&gt;=BA201,3,IF(AK201&gt;=AZ201,2,IF(AK201&lt;AY201,0,1))))))</f>
        <v>9</v>
      </c>
      <c r="BK201" s="164" t="str">
        <f t="shared" si="543"/>
        <v>N/A</v>
      </c>
      <c r="BL201" s="830"/>
      <c r="BO201" s="167"/>
      <c r="BP201" s="167"/>
      <c r="BQ201" s="167" t="str">
        <f t="shared" si="342"/>
        <v/>
      </c>
      <c r="BR201" s="167">
        <f t="shared" si="396"/>
        <v>9</v>
      </c>
      <c r="BS201" s="167">
        <f t="shared" si="397"/>
        <v>9</v>
      </c>
      <c r="BT201" s="167">
        <f t="shared" si="398"/>
        <v>9</v>
      </c>
      <c r="BW201" s="164"/>
      <c r="BX201" s="164"/>
      <c r="BY201" s="674"/>
      <c r="BZ201" s="164"/>
      <c r="CA201" s="680"/>
      <c r="CB201" s="164"/>
      <c r="CE201" s="167"/>
      <c r="CG201" s="681"/>
    </row>
    <row r="202" spans="1:85" x14ac:dyDescent="0.25">
      <c r="A202" s="96">
        <v>194</v>
      </c>
      <c r="B202" s="96" t="str">
        <f t="shared" si="544"/>
        <v>POL 01c</v>
      </c>
      <c r="C202" s="96" t="str">
        <f t="shared" si="344"/>
        <v>POL 01</v>
      </c>
      <c r="D202" s="166" t="s">
        <v>698</v>
      </c>
      <c r="E202" s="917" t="s">
        <v>383</v>
      </c>
      <c r="F202" s="775">
        <v>2</v>
      </c>
      <c r="G202" s="775">
        <v>2</v>
      </c>
      <c r="H202" s="775">
        <v>2</v>
      </c>
      <c r="I202" s="775">
        <v>2</v>
      </c>
      <c r="J202" s="775">
        <v>2</v>
      </c>
      <c r="K202" s="775">
        <v>2</v>
      </c>
      <c r="L202" s="775">
        <v>2</v>
      </c>
      <c r="M202" s="775">
        <v>2</v>
      </c>
      <c r="N202" s="775">
        <v>2</v>
      </c>
      <c r="O202" s="775">
        <v>2</v>
      </c>
      <c r="P202" s="775">
        <v>2</v>
      </c>
      <c r="Q202" s="775">
        <v>2</v>
      </c>
      <c r="R202" s="775">
        <v>2</v>
      </c>
      <c r="T202" s="221">
        <f t="shared" si="537"/>
        <v>2</v>
      </c>
      <c r="U202" s="222">
        <f>IF(U201&gt;0,0,T202)</f>
        <v>2</v>
      </c>
      <c r="V202" s="190"/>
      <c r="W202" s="963">
        <f>IF(W201&gt;0,0,Z202)</f>
        <v>2</v>
      </c>
      <c r="X202" s="239"/>
      <c r="Y202" s="169">
        <f>IF($Y$4=$Y$6,T202,0)</f>
        <v>0</v>
      </c>
      <c r="Z202" s="168">
        <f>VLOOKUP(B202,'Manuell filtrering og justering'!$A$7:$H$253,'Manuell filtrering og justering'!$H$1,FALSE)</f>
        <v>2</v>
      </c>
      <c r="AA202" s="169">
        <f t="shared" si="538"/>
        <v>2</v>
      </c>
      <c r="AB202" s="1037">
        <f>IF($AC$5='Manuell filtrering og justering'!$J$2,Z202-W202,(T202-AA202))</f>
        <v>0</v>
      </c>
      <c r="AD202" s="171">
        <f t="shared" si="539"/>
        <v>0</v>
      </c>
      <c r="AE202" s="171">
        <f t="shared" si="545"/>
        <v>0</v>
      </c>
      <c r="AF202" s="171">
        <f t="shared" si="546"/>
        <v>0</v>
      </c>
      <c r="AG202" s="171">
        <f t="shared" si="547"/>
        <v>0</v>
      </c>
      <c r="AI202" s="1068">
        <f>IF(AI249=AD_no,0,IF(VLOOKUP(E202,'Pre-Assessment Estimator'!$E$11:$Z$225,'Pre-Assessment Estimator'!$G$2,FALSE)&gt;AB202,AB202,VLOOKUP(E202,'Pre-Assessment Estimator'!$E$11:$Z$225,'Pre-Assessment Estimator'!$G$2,FALSE)))</f>
        <v>0</v>
      </c>
      <c r="AJ202" s="1068">
        <f>IF(AJ249=AD_no,0,IF(VLOOKUP(E202,'Pre-Assessment Estimator'!$E$11:$Z$225,'Pre-Assessment Estimator'!$N$2,FALSE)&gt;AB202,AB202,VLOOKUP(E202,'Pre-Assessment Estimator'!$E$11:$Z$225,'Pre-Assessment Estimator'!$N$2,FALSE)))</f>
        <v>0</v>
      </c>
      <c r="AK202" s="1068">
        <f>IF(AK249=AD_no,0,IF(VLOOKUP(E202,'Pre-Assessment Estimator'!$E$11:$Z$225,'Pre-Assessment Estimator'!$U$2,FALSE)&gt;AB202,AB202,VLOOKUP(E202,'Pre-Assessment Estimator'!$E$11:$Z$225,'Pre-Assessment Estimator'!$U$2,FALSE)))</f>
        <v>0</v>
      </c>
      <c r="AM202" s="835"/>
      <c r="AN202" s="836"/>
      <c r="AO202" s="836"/>
      <c r="AP202" s="836"/>
      <c r="AQ202" s="837"/>
      <c r="AR202" s="139"/>
      <c r="AS202" s="835"/>
      <c r="AT202" s="836"/>
      <c r="AU202" s="836"/>
      <c r="AV202" s="836"/>
      <c r="AW202" s="837"/>
      <c r="AY202" s="708"/>
      <c r="AZ202" s="709"/>
      <c r="BA202" s="709"/>
      <c r="BB202" s="709"/>
      <c r="BC202" s="838"/>
      <c r="BD202" s="182">
        <f t="shared" si="548"/>
        <v>9</v>
      </c>
      <c r="BE202" s="164" t="str">
        <f t="shared" si="541"/>
        <v>N/A</v>
      </c>
      <c r="BF202" s="185"/>
      <c r="BG202" s="182">
        <f t="shared" si="549"/>
        <v>9</v>
      </c>
      <c r="BH202" s="164" t="str">
        <f t="shared" si="542"/>
        <v>N/A</v>
      </c>
      <c r="BI202" s="185"/>
      <c r="BJ202" s="182">
        <f t="shared" si="550"/>
        <v>9</v>
      </c>
      <c r="BK202" s="164" t="str">
        <f t="shared" si="543"/>
        <v>N/A</v>
      </c>
      <c r="BL202" s="830"/>
      <c r="BO202" s="167"/>
      <c r="BP202" s="167"/>
      <c r="BQ202" s="167" t="str">
        <f t="shared" si="342"/>
        <v/>
      </c>
      <c r="BR202" s="167">
        <f t="shared" si="396"/>
        <v>9</v>
      </c>
      <c r="BS202" s="167">
        <f t="shared" si="397"/>
        <v>9</v>
      </c>
      <c r="BT202" s="167">
        <f t="shared" si="398"/>
        <v>9</v>
      </c>
      <c r="BW202" s="164"/>
      <c r="BX202" s="164"/>
      <c r="BY202" s="674"/>
      <c r="BZ202" s="164"/>
      <c r="CA202" s="680"/>
      <c r="CB202" s="164"/>
      <c r="CE202" s="167"/>
      <c r="CG202" s="681"/>
    </row>
    <row r="203" spans="1:85" x14ac:dyDescent="0.25">
      <c r="A203" s="96">
        <v>195</v>
      </c>
      <c r="B203" s="96" t="str">
        <f t="shared" si="544"/>
        <v>POL 01d</v>
      </c>
      <c r="C203" s="96" t="str">
        <f t="shared" si="344"/>
        <v>POL 01</v>
      </c>
      <c r="D203" s="166" t="s">
        <v>696</v>
      </c>
      <c r="E203" s="917" t="s">
        <v>901</v>
      </c>
      <c r="F203" s="775">
        <v>1</v>
      </c>
      <c r="G203" s="775">
        <v>1</v>
      </c>
      <c r="H203" s="775">
        <v>1</v>
      </c>
      <c r="I203" s="775">
        <v>1</v>
      </c>
      <c r="J203" s="775">
        <v>1</v>
      </c>
      <c r="K203" s="775">
        <v>1</v>
      </c>
      <c r="L203" s="775">
        <v>1</v>
      </c>
      <c r="M203" s="775">
        <v>1</v>
      </c>
      <c r="N203" s="775">
        <v>1</v>
      </c>
      <c r="O203" s="775">
        <v>1</v>
      </c>
      <c r="P203" s="775">
        <v>1</v>
      </c>
      <c r="Q203" s="775">
        <v>1</v>
      </c>
      <c r="R203" s="775">
        <v>1</v>
      </c>
      <c r="T203" s="221">
        <f t="shared" si="537"/>
        <v>1</v>
      </c>
      <c r="U203" s="222">
        <f>IF(U201&gt;0,0,T203)</f>
        <v>1</v>
      </c>
      <c r="V203" s="190"/>
      <c r="W203" s="963">
        <f>IF(W201&gt;0,0,Z203)</f>
        <v>1</v>
      </c>
      <c r="X203" s="239"/>
      <c r="Y203" s="169">
        <f>IF($Y$4=$Y$6,T203,0)</f>
        <v>0</v>
      </c>
      <c r="Z203" s="168">
        <f>VLOOKUP(B203,'Manuell filtrering og justering'!$A$7:$H$253,'Manuell filtrering og justering'!$H$1,FALSE)</f>
        <v>1</v>
      </c>
      <c r="AA203" s="169">
        <f t="shared" si="538"/>
        <v>1</v>
      </c>
      <c r="AB203" s="1037">
        <f>IF($AC$5='Manuell filtrering og justering'!$J$2,Z203-W203,(T203-AA203))</f>
        <v>0</v>
      </c>
      <c r="AD203" s="171">
        <f t="shared" si="539"/>
        <v>0</v>
      </c>
      <c r="AE203" s="171">
        <f t="shared" si="545"/>
        <v>0</v>
      </c>
      <c r="AF203" s="171">
        <f t="shared" si="546"/>
        <v>0</v>
      </c>
      <c r="AG203" s="171">
        <f t="shared" si="547"/>
        <v>0</v>
      </c>
      <c r="AI203" s="1068">
        <f>IF(AI249=AD_no,0,IF(VLOOKUP(E203,'Pre-Assessment Estimator'!$E$11:$Z$225,'Pre-Assessment Estimator'!$G$2,FALSE)&gt;AB203,AB203,VLOOKUP(E203,'Pre-Assessment Estimator'!$E$11:$Z$225,'Pre-Assessment Estimator'!$G$2,FALSE)))</f>
        <v>0</v>
      </c>
      <c r="AJ203" s="1068">
        <f>IF(AJ249=AD_no,0,IF(VLOOKUP(E203,'Pre-Assessment Estimator'!$E$11:$Z$225,'Pre-Assessment Estimator'!$N$2,FALSE)&gt;AB203,AB203,VLOOKUP(E203,'Pre-Assessment Estimator'!$E$11:$Z$225,'Pre-Assessment Estimator'!$N$2,FALSE)))</f>
        <v>0</v>
      </c>
      <c r="AK203" s="1068">
        <f>IF(AK249=AD_no,0,IF(VLOOKUP(E203,'Pre-Assessment Estimator'!$E$11:$Z$225,'Pre-Assessment Estimator'!$U$2,FALSE)&gt;AB203,AB203,VLOOKUP(E203,'Pre-Assessment Estimator'!$E$11:$Z$225,'Pre-Assessment Estimator'!$U$2,FALSE)))</f>
        <v>0</v>
      </c>
      <c r="AM203" s="835"/>
      <c r="AN203" s="836"/>
      <c r="AO203" s="836"/>
      <c r="AP203" s="836"/>
      <c r="AQ203" s="837"/>
      <c r="AR203" s="139"/>
      <c r="AS203" s="835"/>
      <c r="AT203" s="836"/>
      <c r="AU203" s="836"/>
      <c r="AV203" s="836"/>
      <c r="AW203" s="837"/>
      <c r="AY203" s="708"/>
      <c r="AZ203" s="709"/>
      <c r="BA203" s="709"/>
      <c r="BB203" s="709"/>
      <c r="BC203" s="838"/>
      <c r="BD203" s="182">
        <f t="shared" si="548"/>
        <v>9</v>
      </c>
      <c r="BE203" s="164" t="str">
        <f t="shared" si="541"/>
        <v>N/A</v>
      </c>
      <c r="BF203" s="185"/>
      <c r="BG203" s="182">
        <f t="shared" si="549"/>
        <v>9</v>
      </c>
      <c r="BH203" s="164" t="str">
        <f t="shared" si="542"/>
        <v>N/A</v>
      </c>
      <c r="BI203" s="185"/>
      <c r="BJ203" s="182">
        <f t="shared" si="550"/>
        <v>9</v>
      </c>
      <c r="BK203" s="164" t="str">
        <f t="shared" si="543"/>
        <v>N/A</v>
      </c>
      <c r="BL203" s="830"/>
      <c r="BO203" s="167"/>
      <c r="BP203" s="167"/>
      <c r="BQ203" s="167" t="str">
        <f t="shared" ref="BQ203:BQ251" si="551">IF(BO203&lt;&gt;"",BO203,IF(BP203&lt;&gt;"",BP203,""))</f>
        <v/>
      </c>
      <c r="BR203" s="167">
        <f t="shared" si="396"/>
        <v>9</v>
      </c>
      <c r="BS203" s="167">
        <f t="shared" si="397"/>
        <v>9</v>
      </c>
      <c r="BT203" s="167">
        <f t="shared" si="398"/>
        <v>9</v>
      </c>
      <c r="BW203" s="164"/>
      <c r="BX203" s="164"/>
      <c r="BY203" s="674"/>
      <c r="BZ203" s="164"/>
      <c r="CA203" s="680"/>
      <c r="CB203" s="164"/>
      <c r="CE203" s="167"/>
      <c r="CG203" s="681"/>
    </row>
    <row r="204" spans="1:85" x14ac:dyDescent="0.25">
      <c r="A204" s="96">
        <v>196</v>
      </c>
      <c r="B204" s="137" t="str">
        <f>D204</f>
        <v>POL 02</v>
      </c>
      <c r="C204" s="137" t="str">
        <f>B204</f>
        <v>POL 02</v>
      </c>
      <c r="D204" s="834" t="s">
        <v>187</v>
      </c>
      <c r="E204" s="832" t="s">
        <v>474</v>
      </c>
      <c r="F204" s="951">
        <v>2</v>
      </c>
      <c r="G204" s="951">
        <v>2</v>
      </c>
      <c r="H204" s="951">
        <v>2</v>
      </c>
      <c r="I204" s="951">
        <v>2</v>
      </c>
      <c r="J204" s="951">
        <v>2</v>
      </c>
      <c r="K204" s="951">
        <v>2</v>
      </c>
      <c r="L204" s="951">
        <v>2</v>
      </c>
      <c r="M204" s="951">
        <v>2</v>
      </c>
      <c r="N204" s="951">
        <v>2</v>
      </c>
      <c r="O204" s="951">
        <v>2</v>
      </c>
      <c r="P204" s="951">
        <v>2</v>
      </c>
      <c r="Q204" s="951">
        <v>2</v>
      </c>
      <c r="R204" s="951">
        <v>2</v>
      </c>
      <c r="T204" s="963">
        <f t="shared" si="537"/>
        <v>2</v>
      </c>
      <c r="U204" s="222"/>
      <c r="V204" s="1099"/>
      <c r="W204" s="963"/>
      <c r="X204" s="1100">
        <f>'Manuell filtrering og justering'!E87</f>
        <v>0</v>
      </c>
      <c r="Y204" s="1161"/>
      <c r="Z204" s="980">
        <f>SUM(AB205:AB206)</f>
        <v>2</v>
      </c>
      <c r="AA204" s="963">
        <f t="shared" si="538"/>
        <v>0</v>
      </c>
      <c r="AB204" s="1067">
        <f>SUM(AB205:AB206)</f>
        <v>2</v>
      </c>
      <c r="AD204" s="171">
        <f t="shared" si="539"/>
        <v>1.1428571428571429E-2</v>
      </c>
      <c r="AE204" s="921">
        <f>IF(SUM(AE205:AE206)&gt;$AD$204,$AD$204,SUM(AE205:AE206))</f>
        <v>0</v>
      </c>
      <c r="AF204" s="921">
        <f>IF(SUM(AF205:AF206)&gt;$AD$204,$AD$204,SUM(AF205:AF206))</f>
        <v>0</v>
      </c>
      <c r="AG204" s="921">
        <f>IF(SUM(AG205:AG206)&gt;$AD$204,$AD$204,SUM(AG205:AG206))</f>
        <v>0</v>
      </c>
      <c r="AI204" s="958">
        <f>IF(SUM(AI205:AI206)&gt;Pol02_credits,Pol02_credits,SUM(AI205:AI206))</f>
        <v>0</v>
      </c>
      <c r="AJ204" s="958">
        <f>IF(SUM(AJ205:AJ206)&gt;Pol02_credits,Pol02_credits,SUM(AJ205:AJ206))</f>
        <v>0</v>
      </c>
      <c r="AK204" s="958">
        <f>IF(SUM(AK205:AK206)&gt;Pol02_credits,Pol02_credits,SUM(AK205:AK206))</f>
        <v>0</v>
      </c>
      <c r="AL204" s="96" t="s">
        <v>427</v>
      </c>
      <c r="AM204" s="292"/>
      <c r="AN204" s="293"/>
      <c r="AO204" s="293"/>
      <c r="AP204" s="293"/>
      <c r="AQ204" s="294"/>
      <c r="AR204" s="139"/>
      <c r="AS204" s="292"/>
      <c r="AT204" s="293"/>
      <c r="AU204" s="293"/>
      <c r="AV204" s="293"/>
      <c r="AW204" s="294"/>
      <c r="AY204" s="188"/>
      <c r="AZ204" s="189"/>
      <c r="BA204" s="189"/>
      <c r="BB204" s="189"/>
      <c r="BC204" s="190">
        <f t="shared" si="540"/>
        <v>0</v>
      </c>
      <c r="BD204" s="182">
        <f t="shared" si="461"/>
        <v>9</v>
      </c>
      <c r="BE204" s="164" t="str">
        <f t="shared" si="541"/>
        <v>N/A</v>
      </c>
      <c r="BF204" s="185"/>
      <c r="BG204" s="182">
        <f>IF(BC204=0,9,IF(AJ204&gt;=BC204,5,IF(AJ204&gt;=BB204,4,IF(AJ204&gt;=BA204,3,IF(AJ204&gt;=AZ204,2,IF(AJ204&lt;AY204,0,1))))))</f>
        <v>9</v>
      </c>
      <c r="BH204" s="164" t="str">
        <f t="shared" si="542"/>
        <v>N/A</v>
      </c>
      <c r="BI204" s="185"/>
      <c r="BJ204" s="182">
        <f t="shared" si="444"/>
        <v>9</v>
      </c>
      <c r="BK204" s="164" t="str">
        <f t="shared" si="543"/>
        <v>N/A</v>
      </c>
      <c r="BL204" s="185"/>
      <c r="BO204" s="167"/>
      <c r="BP204" s="167"/>
      <c r="BQ204" s="167" t="str">
        <f t="shared" si="551"/>
        <v/>
      </c>
      <c r="BR204" s="167">
        <f t="shared" si="396"/>
        <v>9</v>
      </c>
      <c r="BS204" s="167">
        <f t="shared" si="397"/>
        <v>9</v>
      </c>
      <c r="BT204" s="167">
        <f t="shared" si="398"/>
        <v>9</v>
      </c>
      <c r="BW204" s="167" t="str">
        <f>D204</f>
        <v>POL 02</v>
      </c>
      <c r="BX204" s="167" t="str">
        <f>IFERROR(VLOOKUP($E204,'Pre-Assessment Estimator'!$E$11:$AB$225,'Pre-Assessment Estimator'!AB$2,FALSE),"")</f>
        <v>No</v>
      </c>
      <c r="BY204" s="230" t="str">
        <f>IFERROR(VLOOKUP($E204,'Pre-Assessment Estimator'!$E$11:$AI$225,'Pre-Assessment Estimator'!AI$2,FALSE),"")</f>
        <v>Ja</v>
      </c>
      <c r="BZ204" s="167">
        <f>IFERROR(VLOOKUP($BX204,$E$292:$H$325,F$290,FALSE),"")</f>
        <v>1</v>
      </c>
      <c r="CA204" s="680" t="s">
        <v>432</v>
      </c>
      <c r="CB204" s="167"/>
      <c r="CC204" s="96" t="str">
        <f>IFERROR(VLOOKUP($BX204,$E$292:$H$325,I$290,FALSE),"")</f>
        <v/>
      </c>
      <c r="CD204" s="96" t="s">
        <v>438</v>
      </c>
      <c r="CE204" s="167">
        <f>VLOOKUP(CA204,$CA$4:$CB$5,2,FALSE)</f>
        <v>1</v>
      </c>
      <c r="CG204" s="681">
        <f>IF($BX$5=ais_nei,CE204,IF(AND(CA204=$CA$4,BX204=$CC$4),0,BZ204))</f>
        <v>1</v>
      </c>
    </row>
    <row r="205" spans="1:85" x14ac:dyDescent="0.25">
      <c r="A205" s="96">
        <v>197</v>
      </c>
      <c r="B205" s="96" t="str">
        <f t="shared" ref="B205:B206" si="552">$D$204&amp;D205</f>
        <v>POL 02a</v>
      </c>
      <c r="C205" s="96" t="str">
        <f t="shared" ref="C205:C213" si="553">C204</f>
        <v>POL 02</v>
      </c>
      <c r="D205" s="166" t="s">
        <v>694</v>
      </c>
      <c r="E205" s="917" t="s">
        <v>963</v>
      </c>
      <c r="F205" s="775">
        <v>2</v>
      </c>
      <c r="G205" s="775">
        <v>2</v>
      </c>
      <c r="H205" s="775">
        <v>2</v>
      </c>
      <c r="I205" s="775">
        <v>2</v>
      </c>
      <c r="J205" s="775">
        <v>2</v>
      </c>
      <c r="K205" s="775">
        <v>2</v>
      </c>
      <c r="L205" s="775">
        <v>2</v>
      </c>
      <c r="M205" s="775">
        <v>2</v>
      </c>
      <c r="N205" s="775">
        <v>2</v>
      </c>
      <c r="O205" s="775">
        <v>2</v>
      </c>
      <c r="P205" s="775">
        <v>2</v>
      </c>
      <c r="Q205" s="775">
        <v>2</v>
      </c>
      <c r="R205" s="775">
        <v>2</v>
      </c>
      <c r="T205" s="221">
        <f t="shared" si="537"/>
        <v>2</v>
      </c>
      <c r="U205" s="1228">
        <f>IF('Assessment Details'!F25='Assessment Details'!J30,0,IF('Assessment Details'!F25="",0,Poeng!T205))</f>
        <v>0</v>
      </c>
      <c r="V205" s="190"/>
      <c r="W205" s="1036">
        <f>IF('Assessment Details'!F25='Assessment Details'!J30,0,IF('Assessment Details'!F25="",0,Poeng!Z205))</f>
        <v>0</v>
      </c>
      <c r="X205" s="239"/>
      <c r="Y205" s="169">
        <f>IF($Y$4=$Y$6,T205,0)</f>
        <v>0</v>
      </c>
      <c r="Z205" s="168">
        <f>VLOOKUP(B205,'Manuell filtrering og justering'!$A$7:$H$253,'Manuell filtrering og justering'!$H$1,FALSE)</f>
        <v>2</v>
      </c>
      <c r="AA205" s="169">
        <f t="shared" si="538"/>
        <v>0</v>
      </c>
      <c r="AB205" s="1037">
        <f>IF($AC$5='Manuell filtrering og justering'!$J$2,Z205-W205,(T205-AA205))</f>
        <v>2</v>
      </c>
      <c r="AD205" s="171">
        <f t="shared" si="539"/>
        <v>1.1428571428571429E-2</v>
      </c>
      <c r="AE205" s="171">
        <f t="shared" si="545"/>
        <v>0</v>
      </c>
      <c r="AF205" s="171">
        <f t="shared" si="546"/>
        <v>0</v>
      </c>
      <c r="AG205" s="171">
        <f t="shared" si="547"/>
        <v>0</v>
      </c>
      <c r="AI205" s="172">
        <f>IF(VLOOKUP(E205,'Pre-Assessment Estimator'!$E$11:$Z$225,'Pre-Assessment Estimator'!$G$2,FALSE)&gt;AB205,AB205,VLOOKUP(E205,'Pre-Assessment Estimator'!$E$11:$Z$225,'Pre-Assessment Estimator'!$G$2,FALSE))</f>
        <v>0</v>
      </c>
      <c r="AJ205" s="172">
        <f>IF(VLOOKUP(E205,'Pre-Assessment Estimator'!$E$11:$Z$225,'Pre-Assessment Estimator'!$N$2,FALSE)&gt;AB205,AB205,VLOOKUP(E205,'Pre-Assessment Estimator'!$E$11:$Z$225,'Pre-Assessment Estimator'!$N$2,FALSE))</f>
        <v>0</v>
      </c>
      <c r="AK205" s="172">
        <f>IF(VLOOKUP(E205,'Pre-Assessment Estimator'!$E$11:$Z$225,'Pre-Assessment Estimator'!$U$2,FALSE)&gt;AB205,AB205,VLOOKUP(E205,'Pre-Assessment Estimator'!$E$11:$Z$225,'Pre-Assessment Estimator'!$U$2,FALSE))</f>
        <v>0</v>
      </c>
      <c r="AM205" s="292"/>
      <c r="AN205" s="293"/>
      <c r="AO205" s="293"/>
      <c r="AP205" s="293"/>
      <c r="AQ205" s="294"/>
      <c r="AR205" s="139"/>
      <c r="AS205" s="292"/>
      <c r="AT205" s="293"/>
      <c r="AU205" s="293"/>
      <c r="AV205" s="293"/>
      <c r="AW205" s="294"/>
      <c r="AY205" s="188"/>
      <c r="AZ205" s="189"/>
      <c r="BA205" s="189"/>
      <c r="BB205" s="189"/>
      <c r="BC205" s="190"/>
      <c r="BD205" s="182">
        <f t="shared" si="461"/>
        <v>9</v>
      </c>
      <c r="BE205" s="164" t="str">
        <f t="shared" si="541"/>
        <v>N/A</v>
      </c>
      <c r="BF205" s="185"/>
      <c r="BG205" s="182">
        <f t="shared" ref="BG205:BG210" si="554">IF(BC205=0,9,IF(AJ205&gt;=BC205,5,IF(AJ205&gt;=BB205,4,IF(AJ205&gt;=BA205,3,IF(AJ205&gt;=AZ205,2,IF(AJ205&lt;AY205,0,1))))))</f>
        <v>9</v>
      </c>
      <c r="BH205" s="164" t="str">
        <f t="shared" si="542"/>
        <v>N/A</v>
      </c>
      <c r="BI205" s="185"/>
      <c r="BJ205" s="182">
        <f t="shared" si="444"/>
        <v>9</v>
      </c>
      <c r="BK205" s="164" t="str">
        <f t="shared" si="543"/>
        <v>N/A</v>
      </c>
      <c r="BL205" s="185"/>
      <c r="BO205" s="167"/>
      <c r="BP205" s="167"/>
      <c r="BQ205" s="167" t="str">
        <f t="shared" si="551"/>
        <v/>
      </c>
      <c r="BR205" s="167">
        <f t="shared" si="396"/>
        <v>9</v>
      </c>
      <c r="BS205" s="167">
        <f t="shared" si="397"/>
        <v>9</v>
      </c>
      <c r="BT205" s="167">
        <f t="shared" si="398"/>
        <v>9</v>
      </c>
      <c r="BW205" s="167"/>
      <c r="BX205" s="167"/>
      <c r="BY205" s="230"/>
      <c r="BZ205" s="167"/>
      <c r="CA205" s="680"/>
      <c r="CB205" s="167"/>
      <c r="CE205" s="99"/>
      <c r="CG205" s="681"/>
    </row>
    <row r="206" spans="1:85" x14ac:dyDescent="0.25">
      <c r="A206" s="96">
        <v>198</v>
      </c>
      <c r="B206" s="96" t="str">
        <f t="shared" si="552"/>
        <v>POL 02b</v>
      </c>
      <c r="C206" s="96" t="str">
        <f t="shared" si="553"/>
        <v>POL 02</v>
      </c>
      <c r="D206" s="166" t="s">
        <v>697</v>
      </c>
      <c r="E206" s="917" t="s">
        <v>964</v>
      </c>
      <c r="F206" s="775">
        <v>2</v>
      </c>
      <c r="G206" s="775">
        <v>2</v>
      </c>
      <c r="H206" s="775">
        <v>2</v>
      </c>
      <c r="I206" s="775">
        <v>2</v>
      </c>
      <c r="J206" s="775">
        <v>2</v>
      </c>
      <c r="K206" s="775">
        <v>2</v>
      </c>
      <c r="L206" s="775">
        <v>2</v>
      </c>
      <c r="M206" s="775">
        <v>2</v>
      </c>
      <c r="N206" s="775">
        <v>2</v>
      </c>
      <c r="O206" s="775">
        <v>2</v>
      </c>
      <c r="P206" s="775">
        <v>2</v>
      </c>
      <c r="Q206" s="775">
        <v>2</v>
      </c>
      <c r="R206" s="775">
        <v>2</v>
      </c>
      <c r="T206" s="221">
        <f t="shared" si="537"/>
        <v>2</v>
      </c>
      <c r="U206" s="222">
        <f>IF('Assessment Details'!F25='Assessment Details'!J31,0,Poeng!T206)</f>
        <v>2</v>
      </c>
      <c r="V206" s="190"/>
      <c r="W206" s="963">
        <f>IF('Assessment Details'!F25='Assessment Details'!J31,0,Poeng!Z206)</f>
        <v>2</v>
      </c>
      <c r="X206" s="239"/>
      <c r="Y206" s="169">
        <f>IF($Y$4=$Y$6,T206,0)</f>
        <v>0</v>
      </c>
      <c r="Z206" s="168">
        <f>VLOOKUP(B206,'Manuell filtrering og justering'!$A$7:$H$253,'Manuell filtrering og justering'!$H$1,FALSE)</f>
        <v>2</v>
      </c>
      <c r="AA206" s="169">
        <f t="shared" si="538"/>
        <v>2</v>
      </c>
      <c r="AB206" s="1037">
        <f>IF($AC$5='Manuell filtrering og justering'!$J$2,Z206-W206,(T206-AA206))</f>
        <v>0</v>
      </c>
      <c r="AD206" s="171">
        <f t="shared" si="539"/>
        <v>0</v>
      </c>
      <c r="AE206" s="171">
        <f t="shared" si="545"/>
        <v>0</v>
      </c>
      <c r="AF206" s="171">
        <f t="shared" si="546"/>
        <v>0</v>
      </c>
      <c r="AG206" s="171">
        <f t="shared" si="547"/>
        <v>0</v>
      </c>
      <c r="AI206" s="172">
        <f>IF(VLOOKUP(E206,'Pre-Assessment Estimator'!$E$11:$Z$225,'Pre-Assessment Estimator'!$G$2,FALSE)&gt;AB206,AB206,VLOOKUP(E206,'Pre-Assessment Estimator'!$E$11:$Z$225,'Pre-Assessment Estimator'!$G$2,FALSE))</f>
        <v>0</v>
      </c>
      <c r="AJ206" s="172">
        <f>IF(VLOOKUP(E206,'Pre-Assessment Estimator'!$E$11:$Z$225,'Pre-Assessment Estimator'!$N$2,FALSE)&gt;AB206,AB206,VLOOKUP(E206,'Pre-Assessment Estimator'!$E$11:$Z$225,'Pre-Assessment Estimator'!$N$2,FALSE))</f>
        <v>0</v>
      </c>
      <c r="AK206" s="172">
        <f>IF(VLOOKUP(E206,'Pre-Assessment Estimator'!$E$11:$Z$225,'Pre-Assessment Estimator'!$U$2,FALSE)&gt;AB206,AB206,VLOOKUP(E206,'Pre-Assessment Estimator'!$E$11:$Z$225,'Pre-Assessment Estimator'!$U$2,FALSE))</f>
        <v>0</v>
      </c>
      <c r="AM206" s="292"/>
      <c r="AN206" s="293"/>
      <c r="AO206" s="293"/>
      <c r="AP206" s="293"/>
      <c r="AQ206" s="294"/>
      <c r="AR206" s="139"/>
      <c r="AS206" s="292"/>
      <c r="AT206" s="293"/>
      <c r="AU206" s="293"/>
      <c r="AV206" s="293"/>
      <c r="AW206" s="294"/>
      <c r="AY206" s="188"/>
      <c r="AZ206" s="189"/>
      <c r="BA206" s="189"/>
      <c r="BB206" s="189"/>
      <c r="BC206" s="190"/>
      <c r="BD206" s="182">
        <f t="shared" si="461"/>
        <v>9</v>
      </c>
      <c r="BE206" s="164" t="str">
        <f t="shared" si="541"/>
        <v>N/A</v>
      </c>
      <c r="BF206" s="185"/>
      <c r="BG206" s="182">
        <f t="shared" si="554"/>
        <v>9</v>
      </c>
      <c r="BH206" s="164" t="str">
        <f t="shared" si="542"/>
        <v>N/A</v>
      </c>
      <c r="BI206" s="185"/>
      <c r="BJ206" s="182">
        <f t="shared" si="444"/>
        <v>9</v>
      </c>
      <c r="BK206" s="164" t="str">
        <f t="shared" si="543"/>
        <v>N/A</v>
      </c>
      <c r="BL206" s="185"/>
      <c r="BO206" s="167"/>
      <c r="BP206" s="167"/>
      <c r="BQ206" s="167" t="str">
        <f t="shared" si="551"/>
        <v/>
      </c>
      <c r="BR206" s="167">
        <f t="shared" si="396"/>
        <v>9</v>
      </c>
      <c r="BS206" s="167">
        <f t="shared" si="397"/>
        <v>9</v>
      </c>
      <c r="BT206" s="167">
        <f t="shared" si="398"/>
        <v>9</v>
      </c>
      <c r="BW206" s="167"/>
      <c r="BX206" s="167"/>
      <c r="BY206" s="230"/>
      <c r="BZ206" s="167"/>
      <c r="CA206" s="680"/>
      <c r="CB206" s="167"/>
      <c r="CE206" s="99"/>
      <c r="CG206" s="681"/>
    </row>
    <row r="207" spans="1:85" x14ac:dyDescent="0.25">
      <c r="A207" s="96">
        <v>199</v>
      </c>
      <c r="D207" s="701" t="s">
        <v>188</v>
      </c>
      <c r="E207" s="700"/>
      <c r="F207" s="938"/>
      <c r="G207" s="938"/>
      <c r="H207" s="938"/>
      <c r="I207" s="938"/>
      <c r="J207" s="938"/>
      <c r="K207" s="938"/>
      <c r="L207" s="938"/>
      <c r="M207" s="938"/>
      <c r="N207" s="938"/>
      <c r="O207" s="938"/>
      <c r="P207" s="938"/>
      <c r="Q207" s="938"/>
      <c r="R207" s="938"/>
      <c r="T207" s="956"/>
      <c r="U207" s="701"/>
      <c r="V207" s="955"/>
      <c r="W207" s="956"/>
      <c r="X207" s="1103"/>
      <c r="Y207" s="1168"/>
      <c r="Z207" s="168"/>
      <c r="AA207" s="956"/>
      <c r="AB207" s="957"/>
      <c r="AD207" s="171">
        <f t="shared" si="539"/>
        <v>0</v>
      </c>
      <c r="AE207" s="960"/>
      <c r="AF207" s="960"/>
      <c r="AG207" s="960"/>
      <c r="AI207" s="720"/>
      <c r="AJ207" s="720"/>
      <c r="AK207" s="720"/>
      <c r="AM207" s="292"/>
      <c r="AN207" s="293"/>
      <c r="AO207" s="293"/>
      <c r="AP207" s="293"/>
      <c r="AQ207" s="294"/>
      <c r="AR207" s="139"/>
      <c r="AS207" s="292"/>
      <c r="AT207" s="293"/>
      <c r="AU207" s="293"/>
      <c r="AV207" s="293"/>
      <c r="AW207" s="294"/>
      <c r="AY207" s="188"/>
      <c r="AZ207" s="189"/>
      <c r="BA207" s="189"/>
      <c r="BB207" s="189"/>
      <c r="BC207" s="190">
        <f t="shared" si="540"/>
        <v>0</v>
      </c>
      <c r="BD207" s="182">
        <f t="shared" si="461"/>
        <v>9</v>
      </c>
      <c r="BE207" s="164" t="str">
        <f t="shared" si="541"/>
        <v>N/A</v>
      </c>
      <c r="BF207" s="185"/>
      <c r="BG207" s="182">
        <f t="shared" si="554"/>
        <v>9</v>
      </c>
      <c r="BH207" s="164" t="str">
        <f t="shared" si="542"/>
        <v>N/A</v>
      </c>
      <c r="BI207" s="185"/>
      <c r="BJ207" s="182">
        <f t="shared" si="444"/>
        <v>9</v>
      </c>
      <c r="BK207" s="164" t="str">
        <f t="shared" si="543"/>
        <v>N/A</v>
      </c>
      <c r="BL207" s="185"/>
      <c r="BO207" s="167"/>
      <c r="BP207" s="167"/>
      <c r="BQ207" s="167" t="str">
        <f t="shared" si="551"/>
        <v/>
      </c>
      <c r="BR207" s="167">
        <f t="shared" si="396"/>
        <v>9</v>
      </c>
      <c r="BS207" s="167">
        <f t="shared" si="397"/>
        <v>9</v>
      </c>
      <c r="BT207" s="167">
        <f t="shared" si="398"/>
        <v>9</v>
      </c>
      <c r="BW207" s="167" t="str">
        <f>D207</f>
        <v>POL 03</v>
      </c>
      <c r="BX207" s="167" t="str">
        <f>IFERROR(VLOOKUP($E207,'Pre-Assessment Estimator'!$E$11:$AB$225,'Pre-Assessment Estimator'!AB$2,FALSE),"")</f>
        <v/>
      </c>
      <c r="BY207" s="167" t="str">
        <f>IFERROR(VLOOKUP($E207,'Pre-Assessment Estimator'!$E$11:$AI$225,'Pre-Assessment Estimator'!AI$2,FALSE),"")</f>
        <v/>
      </c>
      <c r="BZ207" s="167" t="str">
        <f>IFERROR(VLOOKUP($BX207,$E$292:$H$325,F$290,FALSE),"")</f>
        <v/>
      </c>
      <c r="CA207" s="167" t="str">
        <f>IFERROR(VLOOKUP($BX207,$E$292:$H$325,G$290,FALSE),"")</f>
        <v/>
      </c>
      <c r="CB207" s="167"/>
      <c r="CC207" s="96" t="str">
        <f>IFERROR(VLOOKUP($BX207,$E$292:$H$325,I$290,FALSE),"")</f>
        <v/>
      </c>
    </row>
    <row r="208" spans="1:85" x14ac:dyDescent="0.25">
      <c r="A208" s="96">
        <v>200</v>
      </c>
      <c r="B208" s="137" t="str">
        <f>D208</f>
        <v>POL 04</v>
      </c>
      <c r="C208" s="137" t="str">
        <f>B208</f>
        <v>POL 04</v>
      </c>
      <c r="D208" s="834" t="s">
        <v>189</v>
      </c>
      <c r="E208" s="832" t="s">
        <v>166</v>
      </c>
      <c r="F208" s="951">
        <v>1</v>
      </c>
      <c r="G208" s="951">
        <v>1</v>
      </c>
      <c r="H208" s="951">
        <v>1</v>
      </c>
      <c r="I208" s="951">
        <v>1</v>
      </c>
      <c r="J208" s="951">
        <v>1</v>
      </c>
      <c r="K208" s="951">
        <v>1</v>
      </c>
      <c r="L208" s="951">
        <v>1</v>
      </c>
      <c r="M208" s="951">
        <v>1</v>
      </c>
      <c r="N208" s="951">
        <v>1</v>
      </c>
      <c r="O208" s="951">
        <v>1</v>
      </c>
      <c r="P208" s="951">
        <v>1</v>
      </c>
      <c r="Q208" s="951">
        <v>1</v>
      </c>
      <c r="R208" s="951">
        <v>1</v>
      </c>
      <c r="T208" s="963">
        <f t="shared" ref="T208:T214" si="555">HLOOKUP($E$6,$F$9:$R$231,$A208,FALSE)</f>
        <v>1</v>
      </c>
      <c r="U208" s="222"/>
      <c r="V208" s="1099"/>
      <c r="W208" s="963"/>
      <c r="X208" s="1100">
        <f>'Manuell filtrering og justering'!E89</f>
        <v>0</v>
      </c>
      <c r="Y208" s="1161"/>
      <c r="Z208" s="980">
        <f>SUM(AB209:AB210)</f>
        <v>1</v>
      </c>
      <c r="AA208" s="963">
        <f t="shared" ref="AA208:AA213" si="556">IF(SUM(U208:Y208)&gt;T208,T208,SUM(U208:Y208))</f>
        <v>0</v>
      </c>
      <c r="AB208" s="1067">
        <f>SUM(AB209:AB210)</f>
        <v>1</v>
      </c>
      <c r="AD208" s="171">
        <f t="shared" si="539"/>
        <v>5.7142857142857143E-3</v>
      </c>
      <c r="AE208" s="921">
        <f>IF(SUM(AE209:AE210)&gt;$AD$208,$AD$208,SUM(AE209:AE210))</f>
        <v>0</v>
      </c>
      <c r="AF208" s="921">
        <f>IF(SUM(AF209:AF210)&gt;$AD$208,$AD$208,SUM(AF209:AF210))</f>
        <v>0</v>
      </c>
      <c r="AG208" s="921">
        <f>IF(SUM(AG209:AG210)&gt;$AD$208,$AD$208,SUM(AG209:AG210))</f>
        <v>0</v>
      </c>
      <c r="AI208" s="958">
        <f>IF(SUM(AI209:AI210)&gt;Pol04_credits,Pol04_credits,SUM(AI209:AI210))</f>
        <v>0</v>
      </c>
      <c r="AJ208" s="958">
        <f>IF(SUM(AJ209:AJ210)&gt;Pol04_credits,Pol04_credits,SUM(AJ209:AJ210))</f>
        <v>0</v>
      </c>
      <c r="AK208" s="958">
        <f>IF(SUM(AK209:AK210)&gt;Pol04_credits,Pol04_credits,SUM(AK209:AK210))</f>
        <v>0</v>
      </c>
      <c r="AL208" s="96" t="s">
        <v>427</v>
      </c>
      <c r="AM208" s="292"/>
      <c r="AN208" s="293"/>
      <c r="AO208" s="293"/>
      <c r="AP208" s="293"/>
      <c r="AQ208" s="294"/>
      <c r="AR208" s="139"/>
      <c r="AS208" s="292"/>
      <c r="AT208" s="293"/>
      <c r="AU208" s="293"/>
      <c r="AV208" s="293"/>
      <c r="AW208" s="294"/>
      <c r="AY208" s="188"/>
      <c r="AZ208" s="189"/>
      <c r="BA208" s="189"/>
      <c r="BB208" s="189"/>
      <c r="BC208" s="190">
        <f t="shared" si="540"/>
        <v>0</v>
      </c>
      <c r="BD208" s="182">
        <f t="shared" ref="BD208:BD210" si="557">IF(BC208=0,9,IF(AI208&gt;=BC208,5,IF(AI208&gt;=BB208,4,IF(AI208&gt;=BA208,3,IF(AI208&gt;=AZ208,2,IF(AI208&lt;AY208,0,1))))))</f>
        <v>9</v>
      </c>
      <c r="BE208" s="164" t="str">
        <f t="shared" si="541"/>
        <v>N/A</v>
      </c>
      <c r="BF208" s="185"/>
      <c r="BG208" s="182">
        <f t="shared" si="554"/>
        <v>9</v>
      </c>
      <c r="BH208" s="164" t="str">
        <f t="shared" si="542"/>
        <v>N/A</v>
      </c>
      <c r="BI208" s="185"/>
      <c r="BJ208" s="182">
        <f t="shared" ref="BJ208:BJ210" si="558">IF(BC208=0,9,IF(AK208&gt;=BC208,5,IF(AK208&gt;=BB208,4,IF(AK208&gt;=BA208,3,IF(AK208&gt;=AZ208,2,IF(AK208&lt;AY208,0,1))))))</f>
        <v>9</v>
      </c>
      <c r="BK208" s="164" t="str">
        <f t="shared" si="543"/>
        <v>N/A</v>
      </c>
      <c r="BL208" s="185"/>
      <c r="BO208" s="167"/>
      <c r="BP208" s="167"/>
      <c r="BQ208" s="167" t="str">
        <f t="shared" si="551"/>
        <v/>
      </c>
      <c r="BR208" s="167">
        <f t="shared" si="396"/>
        <v>9</v>
      </c>
      <c r="BS208" s="167">
        <f t="shared" si="397"/>
        <v>9</v>
      </c>
      <c r="BT208" s="167">
        <f t="shared" si="398"/>
        <v>9</v>
      </c>
      <c r="BW208" s="167" t="str">
        <f>D208</f>
        <v>POL 04</v>
      </c>
      <c r="BX208" s="167" t="str">
        <f>IFERROR(VLOOKUP($E208,'Pre-Assessment Estimator'!$E$11:$AB$225,'Pre-Assessment Estimator'!AB$2,FALSE),"")</f>
        <v>No</v>
      </c>
      <c r="BY208" s="230" t="str">
        <f>IFERROR(VLOOKUP($E208,'Pre-Assessment Estimator'!$E$11:$AI$225,'Pre-Assessment Estimator'!AI$2,FALSE),"")</f>
        <v>Ja</v>
      </c>
      <c r="BZ208" s="167">
        <f>IFERROR(VLOOKUP($BX208,$E$292:$H$325,F$290,FALSE),"")</f>
        <v>1</v>
      </c>
      <c r="CA208" s="680" t="s">
        <v>432</v>
      </c>
      <c r="CB208" s="167"/>
      <c r="CC208" s="96" t="str">
        <f>IFERROR(VLOOKUP($BX208,$E$292:$H$325,I$290,FALSE),"")</f>
        <v/>
      </c>
      <c r="CD208" s="96" t="s">
        <v>438</v>
      </c>
      <c r="CE208" s="167">
        <f>VLOOKUP(CA208,$CA$4:$CB$5,2,FALSE)</f>
        <v>1</v>
      </c>
      <c r="CG208" s="681">
        <f>IF($BX$5=ais_nei,CE208,IF(AND(CA208=$CA$4,BX208=$CC$4),0,BZ208))</f>
        <v>1</v>
      </c>
    </row>
    <row r="209" spans="1:85" x14ac:dyDescent="0.25">
      <c r="A209" s="96">
        <v>201</v>
      </c>
      <c r="B209" s="96" t="str">
        <f t="shared" ref="B209:B210" si="559">$D$208&amp;D209</f>
        <v>POL 04a</v>
      </c>
      <c r="C209" s="96" t="str">
        <f t="shared" si="553"/>
        <v>POL 04</v>
      </c>
      <c r="D209" s="166" t="s">
        <v>694</v>
      </c>
      <c r="E209" s="917" t="s">
        <v>905</v>
      </c>
      <c r="F209" s="775">
        <v>1</v>
      </c>
      <c r="G209" s="775">
        <v>1</v>
      </c>
      <c r="H209" s="775">
        <v>1</v>
      </c>
      <c r="I209" s="775">
        <v>1</v>
      </c>
      <c r="J209" s="775">
        <v>1</v>
      </c>
      <c r="K209" s="775">
        <v>1</v>
      </c>
      <c r="L209" s="775">
        <v>1</v>
      </c>
      <c r="M209" s="775">
        <v>1</v>
      </c>
      <c r="N209" s="775">
        <v>1</v>
      </c>
      <c r="O209" s="775">
        <v>1</v>
      </c>
      <c r="P209" s="775">
        <v>1</v>
      </c>
      <c r="Q209" s="775">
        <v>1</v>
      </c>
      <c r="R209" s="775">
        <v>1</v>
      </c>
      <c r="T209" s="221">
        <f t="shared" si="555"/>
        <v>1</v>
      </c>
      <c r="U209" s="222">
        <f>IF('Assessment Details'!F18=AD_Yes,Poeng!T209,0)</f>
        <v>0</v>
      </c>
      <c r="V209" s="168"/>
      <c r="W209" s="963">
        <f>IF('Assessment Details'!F18=AD_Yes,Poeng!Z209,0)</f>
        <v>0</v>
      </c>
      <c r="X209" s="239"/>
      <c r="Y209" s="1160"/>
      <c r="Z209" s="168">
        <f>VLOOKUP(B209,'Manuell filtrering og justering'!$A$7:$H$253,'Manuell filtrering og justering'!$H$1,FALSE)</f>
        <v>1</v>
      </c>
      <c r="AA209" s="169">
        <f t="shared" si="556"/>
        <v>0</v>
      </c>
      <c r="AB209" s="1037">
        <f>IF($AC$5='Manuell filtrering og justering'!$J$2,Z209-W209,(T209-AA209))</f>
        <v>1</v>
      </c>
      <c r="AD209" s="171">
        <f t="shared" si="539"/>
        <v>5.7142857142857143E-3</v>
      </c>
      <c r="AE209" s="171">
        <f t="shared" si="545"/>
        <v>0</v>
      </c>
      <c r="AF209" s="171">
        <f t="shared" si="546"/>
        <v>0</v>
      </c>
      <c r="AG209" s="171">
        <f t="shared" si="547"/>
        <v>0</v>
      </c>
      <c r="AI209" s="172">
        <f>IF(VLOOKUP(E209,'Pre-Assessment Estimator'!$E$11:$Z$225,'Pre-Assessment Estimator'!$G$2,FALSE)&gt;AB209,AB209,VLOOKUP(E209,'Pre-Assessment Estimator'!$E$11:$Z$225,'Pre-Assessment Estimator'!$G$2,FALSE))</f>
        <v>0</v>
      </c>
      <c r="AJ209" s="172">
        <f>IF(VLOOKUP(E209,'Pre-Assessment Estimator'!$E$11:$Z$225,'Pre-Assessment Estimator'!$N$2,FALSE)&gt;AB209,AB209,VLOOKUP(E209,'Pre-Assessment Estimator'!$E$11:$Z$225,'Pre-Assessment Estimator'!$N$2,FALSE))</f>
        <v>0</v>
      </c>
      <c r="AK209" s="172">
        <f>IF(VLOOKUP(E209,'Pre-Assessment Estimator'!$E$11:$Z$225,'Pre-Assessment Estimator'!$U$2,FALSE)&gt;AB209,AB209,VLOOKUP(E209,'Pre-Assessment Estimator'!$E$11:$Z$225,'Pre-Assessment Estimator'!$U$2,FALSE))</f>
        <v>0</v>
      </c>
      <c r="AM209" s="850"/>
      <c r="AN209" s="851"/>
      <c r="AO209" s="851"/>
      <c r="AP209" s="851"/>
      <c r="AQ209" s="843"/>
      <c r="AR209" s="139"/>
      <c r="AS209" s="850"/>
      <c r="AT209" s="851"/>
      <c r="AU209" s="851"/>
      <c r="AV209" s="851"/>
      <c r="AW209" s="843"/>
      <c r="AY209" s="731"/>
      <c r="AZ209" s="733"/>
      <c r="BA209" s="733"/>
      <c r="BB209" s="733"/>
      <c r="BC209" s="852"/>
      <c r="BD209" s="182">
        <f t="shared" si="557"/>
        <v>9</v>
      </c>
      <c r="BE209" s="164" t="str">
        <f t="shared" si="541"/>
        <v>N/A</v>
      </c>
      <c r="BF209" s="185"/>
      <c r="BG209" s="182">
        <f t="shared" si="554"/>
        <v>9</v>
      </c>
      <c r="BH209" s="164" t="str">
        <f t="shared" si="542"/>
        <v>N/A</v>
      </c>
      <c r="BI209" s="185"/>
      <c r="BJ209" s="182">
        <f t="shared" si="558"/>
        <v>9</v>
      </c>
      <c r="BK209" s="164" t="str">
        <f t="shared" si="543"/>
        <v>N/A</v>
      </c>
      <c r="BL209" s="847"/>
      <c r="BO209" s="167"/>
      <c r="BP209" s="167"/>
      <c r="BQ209" s="167" t="str">
        <f t="shared" si="551"/>
        <v/>
      </c>
      <c r="BR209" s="167">
        <f t="shared" si="396"/>
        <v>9</v>
      </c>
      <c r="BS209" s="167">
        <f t="shared" si="397"/>
        <v>9</v>
      </c>
      <c r="BT209" s="167">
        <f t="shared" si="398"/>
        <v>9</v>
      </c>
      <c r="BW209" s="167"/>
      <c r="BX209" s="167"/>
      <c r="BY209" s="230"/>
      <c r="BZ209" s="167"/>
      <c r="CA209" s="680"/>
      <c r="CB209" s="167"/>
      <c r="CE209" s="167"/>
      <c r="CG209" s="681"/>
    </row>
    <row r="210" spans="1:85" x14ac:dyDescent="0.25">
      <c r="A210" s="96">
        <v>202</v>
      </c>
      <c r="B210" s="96" t="str">
        <f t="shared" si="559"/>
        <v>POL 04b</v>
      </c>
      <c r="C210" s="96" t="str">
        <f t="shared" si="553"/>
        <v>POL 04</v>
      </c>
      <c r="D210" s="166" t="s">
        <v>697</v>
      </c>
      <c r="E210" s="917" t="s">
        <v>906</v>
      </c>
      <c r="F210" s="775">
        <v>1</v>
      </c>
      <c r="G210" s="775">
        <v>1</v>
      </c>
      <c r="H210" s="775">
        <v>1</v>
      </c>
      <c r="I210" s="775">
        <v>1</v>
      </c>
      <c r="J210" s="775">
        <v>1</v>
      </c>
      <c r="K210" s="775">
        <v>1</v>
      </c>
      <c r="L210" s="775">
        <v>1</v>
      </c>
      <c r="M210" s="775">
        <v>1</v>
      </c>
      <c r="N210" s="775">
        <v>1</v>
      </c>
      <c r="O210" s="775">
        <v>1</v>
      </c>
      <c r="P210" s="775">
        <v>1</v>
      </c>
      <c r="Q210" s="775">
        <v>1</v>
      </c>
      <c r="R210" s="775">
        <v>1</v>
      </c>
      <c r="T210" s="221">
        <f t="shared" si="555"/>
        <v>1</v>
      </c>
      <c r="U210" s="222">
        <f>IF(U209=1,0,T210)</f>
        <v>1</v>
      </c>
      <c r="V210" s="168"/>
      <c r="W210" s="963">
        <f>IF(W209=1,0,Z210)</f>
        <v>1</v>
      </c>
      <c r="X210" s="239"/>
      <c r="Y210" s="1160"/>
      <c r="Z210" s="168">
        <f>VLOOKUP(B210,'Manuell filtrering og justering'!$A$7:$H$253,'Manuell filtrering og justering'!$H$1,FALSE)</f>
        <v>1</v>
      </c>
      <c r="AA210" s="169">
        <f t="shared" si="556"/>
        <v>1</v>
      </c>
      <c r="AB210" s="1037">
        <f>IF($AC$5='Manuell filtrering og justering'!$J$2,Z210-W210,(T210-AA210))</f>
        <v>0</v>
      </c>
      <c r="AD210" s="171">
        <f t="shared" si="539"/>
        <v>0</v>
      </c>
      <c r="AE210" s="171">
        <f t="shared" si="545"/>
        <v>0</v>
      </c>
      <c r="AF210" s="171">
        <f t="shared" si="546"/>
        <v>0</v>
      </c>
      <c r="AG210" s="171">
        <f t="shared" si="547"/>
        <v>0</v>
      </c>
      <c r="AI210" s="172">
        <f>IF(VLOOKUP(E210,'Pre-Assessment Estimator'!$E$11:$Z$225,'Pre-Assessment Estimator'!$G$2,FALSE)&gt;AB210,AB210,VLOOKUP(E210,'Pre-Assessment Estimator'!$E$11:$Z$225,'Pre-Assessment Estimator'!$G$2,FALSE))</f>
        <v>0</v>
      </c>
      <c r="AJ210" s="172">
        <f>IF(VLOOKUP(E210,'Pre-Assessment Estimator'!$E$11:$Z$225,'Pre-Assessment Estimator'!$N$2,FALSE)&gt;AB210,AB210,VLOOKUP(E210,'Pre-Assessment Estimator'!$E$11:$Z$225,'Pre-Assessment Estimator'!$N$2,FALSE))</f>
        <v>0</v>
      </c>
      <c r="AK210" s="172">
        <f>IF(VLOOKUP(E210,'Pre-Assessment Estimator'!$E$11:$Z$225,'Pre-Assessment Estimator'!$U$2,FALSE)&gt;AB210,AB210,VLOOKUP(E210,'Pre-Assessment Estimator'!$E$11:$Z$225,'Pre-Assessment Estimator'!$U$2,FALSE))</f>
        <v>0</v>
      </c>
      <c r="AM210" s="850"/>
      <c r="AN210" s="851"/>
      <c r="AO210" s="851"/>
      <c r="AP210" s="851"/>
      <c r="AQ210" s="843"/>
      <c r="AR210" s="139"/>
      <c r="AS210" s="850"/>
      <c r="AT210" s="851"/>
      <c r="AU210" s="851"/>
      <c r="AV210" s="851"/>
      <c r="AW210" s="843"/>
      <c r="AY210" s="731"/>
      <c r="AZ210" s="733"/>
      <c r="BA210" s="733"/>
      <c r="BB210" s="733"/>
      <c r="BC210" s="852"/>
      <c r="BD210" s="182">
        <f t="shared" si="557"/>
        <v>9</v>
      </c>
      <c r="BE210" s="164" t="str">
        <f t="shared" si="541"/>
        <v>N/A</v>
      </c>
      <c r="BF210" s="185"/>
      <c r="BG210" s="182">
        <f t="shared" si="554"/>
        <v>9</v>
      </c>
      <c r="BH210" s="164" t="str">
        <f t="shared" si="542"/>
        <v>N/A</v>
      </c>
      <c r="BI210" s="185"/>
      <c r="BJ210" s="182">
        <f t="shared" si="558"/>
        <v>9</v>
      </c>
      <c r="BK210" s="164" t="str">
        <f t="shared" si="543"/>
        <v>N/A</v>
      </c>
      <c r="BL210" s="847"/>
      <c r="BO210" s="167"/>
      <c r="BP210" s="167"/>
      <c r="BQ210" s="167" t="str">
        <f t="shared" si="551"/>
        <v/>
      </c>
      <c r="BR210" s="167">
        <f t="shared" si="396"/>
        <v>9</v>
      </c>
      <c r="BS210" s="167">
        <f t="shared" si="397"/>
        <v>9</v>
      </c>
      <c r="BT210" s="167">
        <f t="shared" si="398"/>
        <v>9</v>
      </c>
      <c r="BW210" s="167"/>
      <c r="BX210" s="167"/>
      <c r="BY210" s="230"/>
      <c r="BZ210" s="167"/>
      <c r="CA210" s="680"/>
      <c r="CB210" s="167"/>
      <c r="CE210" s="167"/>
      <c r="CG210" s="681"/>
    </row>
    <row r="211" spans="1:85" ht="15.75" thickBot="1" x14ac:dyDescent="0.3">
      <c r="A211" s="96">
        <v>203</v>
      </c>
      <c r="B211" s="137" t="str">
        <f>D211</f>
        <v>POL 05</v>
      </c>
      <c r="C211" s="137" t="str">
        <f>B211</f>
        <v>POL 05</v>
      </c>
      <c r="D211" s="834" t="s">
        <v>190</v>
      </c>
      <c r="E211" s="832" t="s">
        <v>909</v>
      </c>
      <c r="F211" s="951">
        <v>1</v>
      </c>
      <c r="G211" s="951">
        <v>1</v>
      </c>
      <c r="H211" s="1232">
        <v>0</v>
      </c>
      <c r="I211" s="951">
        <v>1</v>
      </c>
      <c r="J211" s="951">
        <v>1</v>
      </c>
      <c r="K211" s="951">
        <v>1</v>
      </c>
      <c r="L211" s="951">
        <v>1</v>
      </c>
      <c r="M211" s="951">
        <v>1</v>
      </c>
      <c r="N211" s="951">
        <v>1</v>
      </c>
      <c r="O211" s="951">
        <v>1</v>
      </c>
      <c r="P211" s="951">
        <v>1</v>
      </c>
      <c r="Q211" s="951">
        <v>1</v>
      </c>
      <c r="R211" s="951">
        <v>1</v>
      </c>
      <c r="T211" s="963">
        <f t="shared" si="555"/>
        <v>1</v>
      </c>
      <c r="U211" s="222">
        <f>IF(ADIND_option02=AD_no,Poeng!T211,0)</f>
        <v>0</v>
      </c>
      <c r="V211" s="1099"/>
      <c r="W211" s="963"/>
      <c r="X211" s="1100">
        <f>'Manuell filtrering og justering'!E90</f>
        <v>0</v>
      </c>
      <c r="Y211" s="1161"/>
      <c r="Z211" s="980">
        <f>SUM(AB212:AB213)</f>
        <v>1</v>
      </c>
      <c r="AA211" s="963">
        <f t="shared" si="556"/>
        <v>0</v>
      </c>
      <c r="AB211" s="1067">
        <f>SUM(AB212:AB213)</f>
        <v>1</v>
      </c>
      <c r="AD211" s="171">
        <f t="shared" si="539"/>
        <v>5.7142857142857143E-3</v>
      </c>
      <c r="AE211" s="921">
        <f>IF(SUM(AE212:AE213)&gt;$AD$211,$AD$211,SUM(AE212:AE213))</f>
        <v>0</v>
      </c>
      <c r="AF211" s="921">
        <f>IF(SUM(AF212:AF213)&gt;$AD$211,$AD$211,SUM(AF212:AF213))</f>
        <v>0</v>
      </c>
      <c r="AG211" s="921">
        <f>IF(SUM(AG212:AG213)&gt;$AD$211,$AD$211,SUM(AG212:AG213))</f>
        <v>0</v>
      </c>
      <c r="AI211" s="958">
        <f>IF(SUM(AI212:AI213)&gt;Pol05_credits,Pol05_credits,SUM(AI212:AI213))</f>
        <v>0</v>
      </c>
      <c r="AJ211" s="958">
        <f>IF(SUM(AJ212:AJ213)&gt;Pol05_credits,Pol05_credits,SUM(AJ212:AJ213))</f>
        <v>0</v>
      </c>
      <c r="AK211" s="958">
        <f>IF(SUM(AK212:AK213)&gt;Pol05_credits,Pol05_credits,SUM(AK212:AK213))</f>
        <v>0</v>
      </c>
      <c r="AL211" s="96" t="s">
        <v>427</v>
      </c>
      <c r="AM211" s="295"/>
      <c r="AN211" s="296"/>
      <c r="AO211" s="296"/>
      <c r="AP211" s="296"/>
      <c r="AQ211" s="297"/>
      <c r="AR211" s="139"/>
      <c r="AS211" s="295"/>
      <c r="AT211" s="296"/>
      <c r="AU211" s="296"/>
      <c r="AV211" s="296"/>
      <c r="AW211" s="297"/>
      <c r="AY211" s="194"/>
      <c r="AZ211" s="196"/>
      <c r="BA211" s="196"/>
      <c r="BB211" s="196"/>
      <c r="BC211" s="197">
        <f t="shared" si="540"/>
        <v>0</v>
      </c>
      <c r="BD211" s="198">
        <f t="shared" si="461"/>
        <v>9</v>
      </c>
      <c r="BE211" s="164" t="str">
        <f t="shared" si="541"/>
        <v>N/A</v>
      </c>
      <c r="BF211" s="200"/>
      <c r="BG211" s="198">
        <f>IF(BC211=0,9,IF(AJ211&gt;=BC211,5,IF(AJ211&gt;=BB211,4,IF(AJ211&gt;=BA211,3,IF(AJ211&gt;=AZ211,2,IF(AJ211&lt;AY211,0,1))))))</f>
        <v>9</v>
      </c>
      <c r="BH211" s="164" t="str">
        <f t="shared" si="542"/>
        <v>N/A</v>
      </c>
      <c r="BI211" s="200"/>
      <c r="BJ211" s="198">
        <f t="shared" si="444"/>
        <v>9</v>
      </c>
      <c r="BK211" s="164" t="str">
        <f t="shared" si="543"/>
        <v>N/A</v>
      </c>
      <c r="BL211" s="200"/>
      <c r="BO211" s="167"/>
      <c r="BP211" s="167"/>
      <c r="BQ211" s="167" t="str">
        <f t="shared" si="551"/>
        <v/>
      </c>
      <c r="BR211" s="167">
        <f t="shared" si="396"/>
        <v>9</v>
      </c>
      <c r="BS211" s="167">
        <f t="shared" si="397"/>
        <v>9</v>
      </c>
      <c r="BT211" s="167">
        <f t="shared" si="398"/>
        <v>9</v>
      </c>
      <c r="BW211" s="167" t="str">
        <f>D211</f>
        <v>POL 05</v>
      </c>
      <c r="BX211" s="167" t="str">
        <f>IFERROR(VLOOKUP($E211,'Pre-Assessment Estimator'!$E$11:$AB$225,'Pre-Assessment Estimator'!AB$2,FALSE),"")</f>
        <v>No</v>
      </c>
      <c r="BY211" s="230" t="str">
        <f>IFERROR(VLOOKUP($E211,'Pre-Assessment Estimator'!$E$11:$AI$225,'Pre-Assessment Estimator'!AI$2,FALSE),"")</f>
        <v>Ja</v>
      </c>
      <c r="BZ211" s="167">
        <f>IFERROR(VLOOKUP($BX211,$E$292:$H$325,F$290,FALSE),"")</f>
        <v>1</v>
      </c>
      <c r="CA211" s="680" t="s">
        <v>432</v>
      </c>
      <c r="CB211" s="167"/>
      <c r="CC211" s="96" t="str">
        <f>IFERROR(VLOOKUP($BX211,$E$292:$H$325,I$290,FALSE),"")</f>
        <v/>
      </c>
      <c r="CD211" s="96" t="s">
        <v>405</v>
      </c>
      <c r="CE211" s="167">
        <f>VLOOKUP(CA211,$CA$4:$CB$5,2,FALSE)</f>
        <v>1</v>
      </c>
      <c r="CG211" s="681">
        <f>IF($BX$5=ais_nei,CE211,IF(AND(CA211=$CA$4,BX211=$CC$4),0,BZ211))</f>
        <v>1</v>
      </c>
    </row>
    <row r="212" spans="1:85" x14ac:dyDescent="0.25">
      <c r="A212" s="96">
        <v>204</v>
      </c>
      <c r="B212" s="96" t="str">
        <f t="shared" ref="B212:B213" si="560">$D$211&amp;D212</f>
        <v>POL 05a</v>
      </c>
      <c r="C212" s="96" t="str">
        <f t="shared" si="553"/>
        <v>POL 05</v>
      </c>
      <c r="D212" s="166" t="s">
        <v>694</v>
      </c>
      <c r="E212" s="917" t="s">
        <v>907</v>
      </c>
      <c r="F212" s="775">
        <v>1</v>
      </c>
      <c r="G212" s="775">
        <v>1</v>
      </c>
      <c r="H212" s="1022">
        <v>0</v>
      </c>
      <c r="I212" s="775">
        <v>1</v>
      </c>
      <c r="J212" s="775">
        <v>1</v>
      </c>
      <c r="K212" s="775">
        <v>1</v>
      </c>
      <c r="L212" s="775">
        <v>1</v>
      </c>
      <c r="M212" s="775">
        <v>1</v>
      </c>
      <c r="N212" s="775">
        <v>1</v>
      </c>
      <c r="O212" s="775">
        <v>1</v>
      </c>
      <c r="P212" s="775">
        <v>1</v>
      </c>
      <c r="Q212" s="775">
        <v>1</v>
      </c>
      <c r="R212" s="775">
        <v>1</v>
      </c>
      <c r="T212" s="221">
        <f t="shared" si="555"/>
        <v>1</v>
      </c>
      <c r="U212" s="728">
        <f>IF('Assessment Details'!F27=AD_Yes,Poeng!T212,0)</f>
        <v>0</v>
      </c>
      <c r="V212" s="1102">
        <f>IF(ADIND_option02=AD_no,T212,0)</f>
        <v>0</v>
      </c>
      <c r="W212" s="1107">
        <f>IF('Assessment Details'!F27=AD_Yes,Poeng!Z212,0)</f>
        <v>0</v>
      </c>
      <c r="X212" s="1104"/>
      <c r="Y212" s="169">
        <f>IF($Y$4=$Y$6,T212,0)</f>
        <v>0</v>
      </c>
      <c r="Z212" s="168">
        <f>VLOOKUP(B212,'Manuell filtrering og justering'!$A$7:$H$253,'Manuell filtrering og justering'!$H$1,FALSE)</f>
        <v>1</v>
      </c>
      <c r="AA212" s="169">
        <f t="shared" si="556"/>
        <v>0</v>
      </c>
      <c r="AB212" s="1037">
        <f>IF($AC$5='Manuell filtrering og justering'!$J$2,Z212-W212,(T212-AA212))</f>
        <v>1</v>
      </c>
      <c r="AD212" s="171">
        <f t="shared" si="539"/>
        <v>5.7142857142857143E-3</v>
      </c>
      <c r="AE212" s="171">
        <f t="shared" si="545"/>
        <v>0</v>
      </c>
      <c r="AF212" s="171">
        <f t="shared" si="546"/>
        <v>0</v>
      </c>
      <c r="AG212" s="171">
        <f t="shared" si="547"/>
        <v>0</v>
      </c>
      <c r="AI212" s="172">
        <f>IF(VLOOKUP(E212,'Pre-Assessment Estimator'!$E$11:$Z$225,'Pre-Assessment Estimator'!$G$2,FALSE)&gt;AB212,AB212,VLOOKUP(E212,'Pre-Assessment Estimator'!$E$11:$Z$225,'Pre-Assessment Estimator'!$G$2,FALSE))</f>
        <v>0</v>
      </c>
      <c r="AJ212" s="172">
        <f>IF(VLOOKUP(E212,'Pre-Assessment Estimator'!$E$11:$Z$225,'Pre-Assessment Estimator'!$N$2,FALSE)&gt;AB212,AB212,VLOOKUP(E212,'Pre-Assessment Estimator'!$E$11:$Z$225,'Pre-Assessment Estimator'!$N$2,FALSE))</f>
        <v>0</v>
      </c>
      <c r="AK212" s="172">
        <f>IF(VLOOKUP(E212,'Pre-Assessment Estimator'!$E$11:$Z$225,'Pre-Assessment Estimator'!$U$2,FALSE)&gt;AB212,AB212,VLOOKUP(E212,'Pre-Assessment Estimator'!$E$11:$Z$225,'Pre-Assessment Estimator'!$U$2,FALSE))</f>
        <v>0</v>
      </c>
      <c r="AM212" s="850"/>
      <c r="AN212" s="851"/>
      <c r="AO212" s="851"/>
      <c r="AP212" s="851"/>
      <c r="AQ212" s="843"/>
      <c r="AR212" s="139"/>
      <c r="AS212" s="850"/>
      <c r="AT212" s="851"/>
      <c r="AU212" s="851"/>
      <c r="AV212" s="851"/>
      <c r="AW212" s="843"/>
      <c r="AY212" s="731"/>
      <c r="AZ212" s="733"/>
      <c r="BA212" s="733"/>
      <c r="BB212" s="733"/>
      <c r="BC212" s="852"/>
      <c r="BD212" s="182">
        <f t="shared" si="461"/>
        <v>9</v>
      </c>
      <c r="BE212" s="164" t="str">
        <f t="shared" si="541"/>
        <v>N/A</v>
      </c>
      <c r="BF212" s="185"/>
      <c r="BG212" s="182">
        <f t="shared" ref="BG212:BG213" si="561">IF(BC212=0,9,IF(AJ212&gt;=BC212,5,IF(AJ212&gt;=BB212,4,IF(AJ212&gt;=BA212,3,IF(AJ212&gt;=AZ212,2,IF(AJ212&lt;AY212,0,1))))))</f>
        <v>9</v>
      </c>
      <c r="BH212" s="164" t="str">
        <f t="shared" si="542"/>
        <v>N/A</v>
      </c>
      <c r="BI212" s="185"/>
      <c r="BJ212" s="182">
        <f t="shared" si="444"/>
        <v>9</v>
      </c>
      <c r="BK212" s="164" t="str">
        <f t="shared" si="543"/>
        <v>N/A</v>
      </c>
      <c r="BL212" s="847"/>
      <c r="BO212" s="167"/>
      <c r="BP212" s="167"/>
      <c r="BQ212" s="167" t="str">
        <f t="shared" si="551"/>
        <v/>
      </c>
      <c r="BR212" s="167">
        <f t="shared" si="396"/>
        <v>9</v>
      </c>
      <c r="BS212" s="167">
        <f t="shared" si="397"/>
        <v>9</v>
      </c>
      <c r="BT212" s="167">
        <f t="shared" si="398"/>
        <v>9</v>
      </c>
      <c r="BW212" s="314"/>
      <c r="BX212" s="314"/>
      <c r="BY212" s="853"/>
      <c r="BZ212" s="314"/>
      <c r="CA212" s="680"/>
      <c r="CB212" s="314"/>
      <c r="CE212" s="99"/>
      <c r="CG212" s="681"/>
    </row>
    <row r="213" spans="1:85" ht="15.75" thickBot="1" x14ac:dyDescent="0.3">
      <c r="A213" s="96">
        <v>205</v>
      </c>
      <c r="B213" s="96" t="str">
        <f t="shared" si="560"/>
        <v>POL 05b</v>
      </c>
      <c r="C213" s="96" t="str">
        <f t="shared" si="553"/>
        <v>POL 05</v>
      </c>
      <c r="D213" s="229" t="s">
        <v>697</v>
      </c>
      <c r="E213" s="917" t="s">
        <v>908</v>
      </c>
      <c r="F213" s="944">
        <v>1</v>
      </c>
      <c r="G213" s="944">
        <v>1</v>
      </c>
      <c r="H213" s="1231">
        <v>0</v>
      </c>
      <c r="I213" s="944">
        <v>1</v>
      </c>
      <c r="J213" s="944">
        <v>1</v>
      </c>
      <c r="K213" s="944">
        <v>1</v>
      </c>
      <c r="L213" s="944">
        <v>1</v>
      </c>
      <c r="M213" s="944">
        <v>1</v>
      </c>
      <c r="N213" s="944">
        <v>1</v>
      </c>
      <c r="O213" s="944">
        <v>1</v>
      </c>
      <c r="P213" s="944">
        <v>1</v>
      </c>
      <c r="Q213" s="944">
        <v>1</v>
      </c>
      <c r="R213" s="944">
        <v>1</v>
      </c>
      <c r="T213" s="221">
        <f t="shared" si="555"/>
        <v>1</v>
      </c>
      <c r="U213" s="222">
        <f>IF(U212=1,0,T213)</f>
        <v>1</v>
      </c>
      <c r="V213" s="1102">
        <f>IF(ADIND_option02=AD_no,T213,0)</f>
        <v>0</v>
      </c>
      <c r="W213" s="1107">
        <f>IF(W212=1,0,Z213)</f>
        <v>1</v>
      </c>
      <c r="X213" s="1104"/>
      <c r="Y213" s="169">
        <f>IF($Y$4=$Y$6,T213,0)</f>
        <v>0</v>
      </c>
      <c r="Z213" s="168">
        <f>VLOOKUP(B213,'Manuell filtrering og justering'!$A$7:$H$253,'Manuell filtrering og justering'!$H$1,FALSE)</f>
        <v>1</v>
      </c>
      <c r="AA213" s="169">
        <f t="shared" si="556"/>
        <v>1</v>
      </c>
      <c r="AB213" s="1037">
        <f>IF($AC$5='Manuell filtrering og justering'!$J$2,Z213-W213,(T213-AA213))</f>
        <v>0</v>
      </c>
      <c r="AD213" s="171">
        <f t="shared" si="539"/>
        <v>0</v>
      </c>
      <c r="AE213" s="171">
        <f t="shared" si="545"/>
        <v>0</v>
      </c>
      <c r="AF213" s="171">
        <f t="shared" si="546"/>
        <v>0</v>
      </c>
      <c r="AG213" s="171">
        <f t="shared" si="547"/>
        <v>0</v>
      </c>
      <c r="AI213" s="172">
        <f>IF(VLOOKUP(E213,'Pre-Assessment Estimator'!$E$11:$Z$225,'Pre-Assessment Estimator'!$G$2,FALSE)&gt;AB213,AB213,VLOOKUP(E213,'Pre-Assessment Estimator'!$E$11:$Z$225,'Pre-Assessment Estimator'!$G$2,FALSE))</f>
        <v>0</v>
      </c>
      <c r="AJ213" s="172">
        <f>IF(VLOOKUP(E213,'Pre-Assessment Estimator'!$E$11:$Z$225,'Pre-Assessment Estimator'!$N$2,FALSE)&gt;AB213,AB213,VLOOKUP(E213,'Pre-Assessment Estimator'!$E$11:$Z$225,'Pre-Assessment Estimator'!$N$2,FALSE))</f>
        <v>0</v>
      </c>
      <c r="AK213" s="172">
        <f>IF(VLOOKUP(E213,'Pre-Assessment Estimator'!$E$11:$Z$225,'Pre-Assessment Estimator'!$U$2,FALSE)&gt;AB213,AB213,VLOOKUP(E213,'Pre-Assessment Estimator'!$E$11:$Z$225,'Pre-Assessment Estimator'!$U$2,FALSE))</f>
        <v>0</v>
      </c>
      <c r="AM213" s="850"/>
      <c r="AN213" s="851"/>
      <c r="AO213" s="851"/>
      <c r="AP213" s="851"/>
      <c r="AQ213" s="843"/>
      <c r="AR213" s="139"/>
      <c r="AS213" s="850"/>
      <c r="AT213" s="851"/>
      <c r="AU213" s="851"/>
      <c r="AV213" s="851"/>
      <c r="AW213" s="843"/>
      <c r="AY213" s="731"/>
      <c r="AZ213" s="733"/>
      <c r="BA213" s="733"/>
      <c r="BB213" s="733"/>
      <c r="BC213" s="852"/>
      <c r="BD213" s="182">
        <f t="shared" si="461"/>
        <v>9</v>
      </c>
      <c r="BE213" s="164" t="str">
        <f t="shared" si="541"/>
        <v>N/A</v>
      </c>
      <c r="BF213" s="185"/>
      <c r="BG213" s="182">
        <f t="shared" si="561"/>
        <v>9</v>
      </c>
      <c r="BH213" s="164" t="str">
        <f t="shared" si="542"/>
        <v>N/A</v>
      </c>
      <c r="BI213" s="185"/>
      <c r="BJ213" s="182">
        <f t="shared" si="444"/>
        <v>9</v>
      </c>
      <c r="BK213" s="164" t="str">
        <f t="shared" si="543"/>
        <v>N/A</v>
      </c>
      <c r="BL213" s="847"/>
      <c r="BO213" s="167"/>
      <c r="BP213" s="167"/>
      <c r="BQ213" s="167" t="str">
        <f t="shared" si="551"/>
        <v/>
      </c>
      <c r="BR213" s="167">
        <f t="shared" si="396"/>
        <v>9</v>
      </c>
      <c r="BS213" s="167">
        <f t="shared" si="397"/>
        <v>9</v>
      </c>
      <c r="BT213" s="167">
        <f t="shared" si="398"/>
        <v>9</v>
      </c>
      <c r="BW213" s="314"/>
      <c r="BX213" s="314"/>
      <c r="BY213" s="853"/>
      <c r="BZ213" s="314"/>
      <c r="CA213" s="680"/>
      <c r="CB213" s="314"/>
      <c r="CE213" s="99"/>
      <c r="CG213" s="681"/>
    </row>
    <row r="214" spans="1:85" ht="15.75" thickBot="1" x14ac:dyDescent="0.3">
      <c r="A214" s="96">
        <v>206</v>
      </c>
      <c r="B214" s="96" t="s">
        <v>891</v>
      </c>
      <c r="D214" s="711"/>
      <c r="E214" s="710" t="s">
        <v>215</v>
      </c>
      <c r="F214" s="774">
        <f t="shared" ref="F214:R214" si="562">F200+F204+F208+F211</f>
        <v>7</v>
      </c>
      <c r="G214" s="774">
        <f t="shared" si="562"/>
        <v>7</v>
      </c>
      <c r="H214" s="774">
        <f t="shared" si="562"/>
        <v>6</v>
      </c>
      <c r="I214" s="774">
        <f t="shared" si="562"/>
        <v>7</v>
      </c>
      <c r="J214" s="774">
        <f t="shared" si="562"/>
        <v>7</v>
      </c>
      <c r="K214" s="774">
        <f t="shared" si="562"/>
        <v>7</v>
      </c>
      <c r="L214" s="774">
        <f t="shared" si="562"/>
        <v>7</v>
      </c>
      <c r="M214" s="774">
        <f t="shared" si="562"/>
        <v>7</v>
      </c>
      <c r="N214" s="774">
        <f t="shared" si="562"/>
        <v>7</v>
      </c>
      <c r="O214" s="774">
        <f t="shared" si="562"/>
        <v>7</v>
      </c>
      <c r="P214" s="774">
        <f t="shared" si="562"/>
        <v>7</v>
      </c>
      <c r="Q214" s="774">
        <f t="shared" ref="Q214" si="563">Q200+Q204+Q208+Q211</f>
        <v>7</v>
      </c>
      <c r="R214" s="774">
        <f t="shared" si="562"/>
        <v>7</v>
      </c>
      <c r="T214" s="226">
        <f t="shared" si="555"/>
        <v>7</v>
      </c>
      <c r="U214" s="204"/>
      <c r="V214" s="206"/>
      <c r="W214" s="207"/>
      <c r="X214" s="1105"/>
      <c r="Y214" s="1163"/>
      <c r="Z214" s="206"/>
      <c r="AA214" s="774">
        <f>AA200+AA204+AA208+AA211</f>
        <v>0</v>
      </c>
      <c r="AB214" s="774">
        <f>AB200+AB204+AB208+AB211</f>
        <v>7</v>
      </c>
      <c r="AD214" s="208">
        <f>AD200+AD204+AD208+AD211</f>
        <v>0.04</v>
      </c>
      <c r="AE214" s="208">
        <f>AE200+AE204+AE208+AE211</f>
        <v>0</v>
      </c>
      <c r="AF214" s="208">
        <f>AF200+AF204+AF208+AF211</f>
        <v>0</v>
      </c>
      <c r="AG214" s="208">
        <f>AG200+AG204+AG208+AG211</f>
        <v>0</v>
      </c>
      <c r="AI214" s="44">
        <f>AI200+AI204+AI208+AI211</f>
        <v>0</v>
      </c>
      <c r="AJ214" s="44">
        <f>AJ200+AJ204+AJ208+AJ211</f>
        <v>0</v>
      </c>
      <c r="AK214" s="44">
        <f>AK200+AK204+AK208+AK211</f>
        <v>0</v>
      </c>
      <c r="AM214" s="139"/>
      <c r="AN214" s="139"/>
      <c r="AO214" s="139"/>
      <c r="AP214" s="139"/>
      <c r="AQ214" s="139"/>
      <c r="AR214" s="139"/>
      <c r="AS214" s="139"/>
      <c r="AT214" s="139"/>
      <c r="AU214" s="139"/>
      <c r="AV214" s="139"/>
      <c r="AW214" s="139"/>
      <c r="AY214" s="97"/>
      <c r="AZ214" s="209"/>
      <c r="BA214" s="97"/>
      <c r="BB214" s="97"/>
      <c r="BC214" s="97"/>
      <c r="BW214" s="202"/>
      <c r="BX214" s="202" t="str">
        <f>IFERROR(VLOOKUP($E214,'Pre-Assessment Estimator'!$E$11:$AB$225,'Pre-Assessment Estimator'!AB$2,FALSE),"")</f>
        <v/>
      </c>
      <c r="BY214" s="202" t="str">
        <f>IFERROR(VLOOKUP($E214,'Pre-Assessment Estimator'!$E$11:$AI$225,'Pre-Assessment Estimator'!AI$2,FALSE),"")</f>
        <v/>
      </c>
      <c r="BZ214" s="202" t="str">
        <f t="shared" ref="BZ214:BZ225" si="564">IFERROR(VLOOKUP($BX214,$E$292:$H$325,F$290,FALSE),"")</f>
        <v/>
      </c>
      <c r="CA214" s="202" t="str">
        <f t="shared" ref="CA214:CA225" si="565">IFERROR(VLOOKUP($BX214,$E$292:$H$325,G$290,FALSE),"")</f>
        <v/>
      </c>
      <c r="CB214" s="202"/>
      <c r="CC214" s="96" t="str">
        <f t="shared" ref="CC214:CC225" si="566">IFERROR(VLOOKUP($BX214,$E$292:$H$325,I$290,FALSE),"")</f>
        <v/>
      </c>
    </row>
    <row r="215" spans="1:85" ht="15.75" thickBot="1" x14ac:dyDescent="0.3">
      <c r="A215" s="96">
        <v>207</v>
      </c>
      <c r="AI215" s="3"/>
      <c r="AJ215" s="3"/>
      <c r="AK215" s="3"/>
      <c r="AM215" s="139"/>
      <c r="AN215" s="139"/>
      <c r="AO215" s="139"/>
      <c r="AP215" s="139"/>
      <c r="AQ215" s="139"/>
      <c r="AR215" s="139"/>
      <c r="AS215" s="139"/>
      <c r="AT215" s="139"/>
      <c r="AU215" s="139"/>
      <c r="AV215" s="139"/>
      <c r="AW215" s="139"/>
      <c r="AY215" s="97"/>
      <c r="AZ215" s="97"/>
      <c r="BA215" s="97"/>
      <c r="BB215" s="97"/>
      <c r="BC215" s="97"/>
      <c r="BX215" s="96" t="str">
        <f>IFERROR(VLOOKUP($E215,'Pre-Assessment Estimator'!$E$11:$AB$225,'Pre-Assessment Estimator'!AB$2,FALSE),"")</f>
        <v/>
      </c>
      <c r="BY215" s="96" t="str">
        <f>IFERROR(VLOOKUP($E215,'Pre-Assessment Estimator'!$E$11:$AI$225,'Pre-Assessment Estimator'!AI$2,FALSE),"")</f>
        <v/>
      </c>
      <c r="BZ215" s="96" t="str">
        <f t="shared" si="564"/>
        <v/>
      </c>
      <c r="CA215" s="96" t="str">
        <f t="shared" si="565"/>
        <v/>
      </c>
      <c r="CC215" s="96" t="str">
        <f t="shared" si="566"/>
        <v/>
      </c>
    </row>
    <row r="216" spans="1:85" ht="60.75" thickBot="1" x14ac:dyDescent="0.3">
      <c r="A216" s="96">
        <v>208</v>
      </c>
      <c r="D216" s="151"/>
      <c r="E216" s="152" t="s">
        <v>227</v>
      </c>
      <c r="F216" s="1243" t="str">
        <f>$F$9</f>
        <v>Office</v>
      </c>
      <c r="G216" s="1243" t="str">
        <f>$G$9</f>
        <v>Retail</v>
      </c>
      <c r="H216" s="1247" t="str">
        <f>$H$9</f>
        <v>Residential</v>
      </c>
      <c r="I216" s="1243" t="str">
        <f>$I$9</f>
        <v>Industrial</v>
      </c>
      <c r="J216" s="1245" t="str">
        <f>$J$9</f>
        <v>Healthcare</v>
      </c>
      <c r="K216" s="1245" t="str">
        <f>$K$9</f>
        <v>Prison</v>
      </c>
      <c r="L216" s="1245" t="str">
        <f>$L$9</f>
        <v>Law Court</v>
      </c>
      <c r="M216" s="1249" t="str">
        <f>$M$9</f>
        <v>Residential institution (long term stay)</v>
      </c>
      <c r="N216" s="918" t="str">
        <f>$N$9</f>
        <v>Residential institution (short term stay)</v>
      </c>
      <c r="O216" s="918" t="str">
        <f>$O$9</f>
        <v>Non-residential institution</v>
      </c>
      <c r="P216" s="918" t="str">
        <f>$P$9</f>
        <v>Assembly and leisure</v>
      </c>
      <c r="Q216" s="1245" t="str">
        <f>$Q$9</f>
        <v>Education</v>
      </c>
      <c r="R216" s="857" t="str">
        <f>$R$9</f>
        <v>Other</v>
      </c>
      <c r="T216" s="138" t="str">
        <f>$E$6</f>
        <v>Office</v>
      </c>
      <c r="U216" s="210"/>
      <c r="V216" s="211"/>
      <c r="W216" s="211"/>
      <c r="X216" s="1165"/>
      <c r="Y216" s="1178" t="s">
        <v>413</v>
      </c>
      <c r="Z216" s="1176" t="s">
        <v>336</v>
      </c>
      <c r="AA216" s="150" t="s">
        <v>215</v>
      </c>
      <c r="AB216" s="59" t="s">
        <v>15</v>
      </c>
      <c r="AI216" s="42"/>
      <c r="AJ216" s="60"/>
      <c r="AK216" s="60"/>
      <c r="AM216" s="139"/>
      <c r="AN216" s="139"/>
      <c r="AO216" s="139"/>
      <c r="AP216" s="139"/>
      <c r="AQ216" s="139"/>
      <c r="AR216" s="139"/>
      <c r="AS216" s="139"/>
      <c r="AT216" s="139"/>
      <c r="AU216" s="139"/>
      <c r="AV216" s="139"/>
      <c r="AW216" s="139"/>
      <c r="AY216" s="97"/>
      <c r="AZ216" s="97"/>
      <c r="BA216" s="97"/>
      <c r="BB216" s="97"/>
      <c r="BC216" s="97"/>
      <c r="BO216" s="60"/>
      <c r="BP216" s="60"/>
      <c r="BQ216" s="60"/>
      <c r="BR216" s="60"/>
      <c r="BS216" s="60"/>
      <c r="BT216" s="60"/>
      <c r="BW216" s="146"/>
      <c r="BX216" s="146" t="str">
        <f>E216</f>
        <v>BREEAM innovation credits</v>
      </c>
      <c r="BY216" s="146" t="str">
        <f>IFERROR(VLOOKUP($E216,'Pre-Assessment Estimator'!$E$11:$AI$225,'Pre-Assessment Estimator'!AI$2,FALSE),"")</f>
        <v/>
      </c>
      <c r="BZ216" s="146" t="str">
        <f t="shared" si="564"/>
        <v/>
      </c>
      <c r="CA216" s="146" t="str">
        <f t="shared" si="565"/>
        <v/>
      </c>
      <c r="CB216" s="146"/>
      <c r="CC216" s="96" t="str">
        <f t="shared" si="566"/>
        <v/>
      </c>
    </row>
    <row r="217" spans="1:85" x14ac:dyDescent="0.25">
      <c r="A217" s="96">
        <v>209</v>
      </c>
      <c r="B217" s="130" t="str">
        <f>D217</f>
        <v>Inn 01</v>
      </c>
      <c r="C217" s="96" t="s">
        <v>95</v>
      </c>
      <c r="D217" s="313" t="s">
        <v>191</v>
      </c>
      <c r="E217" s="177" t="str">
        <f t="shared" ref="E217:E230" si="567">D217&amp;" - "&amp;E260</f>
        <v xml:space="preserve">Inn 01 - Man 03: Reduction of direct emissions from construction sites </v>
      </c>
      <c r="F217" s="953">
        <v>1</v>
      </c>
      <c r="G217" s="953">
        <v>1</v>
      </c>
      <c r="H217" s="953">
        <v>1</v>
      </c>
      <c r="I217" s="953">
        <v>1</v>
      </c>
      <c r="J217" s="953">
        <v>1</v>
      </c>
      <c r="K217" s="953">
        <v>1</v>
      </c>
      <c r="L217" s="953">
        <v>1</v>
      </c>
      <c r="M217" s="953">
        <v>1</v>
      </c>
      <c r="N217" s="953">
        <v>1</v>
      </c>
      <c r="O217" s="953">
        <v>1</v>
      </c>
      <c r="P217" s="953">
        <v>1</v>
      </c>
      <c r="Q217" s="1129">
        <v>1</v>
      </c>
      <c r="R217" s="1129">
        <v>1</v>
      </c>
      <c r="T217" s="212">
        <f t="shared" ref="T217:T231" si="568">HLOOKUP($E$6,$F$9:$R$231,$A217,FALSE)</f>
        <v>1</v>
      </c>
      <c r="U217" s="166"/>
      <c r="V217" s="167"/>
      <c r="W217" s="167"/>
      <c r="X217" s="168">
        <f>'Manuell filtrering og justering'!E94</f>
        <v>0</v>
      </c>
      <c r="Y217" s="169"/>
      <c r="Z217" s="1160">
        <f>VLOOKUP(B217,'Manuell filtrering og justering'!$A$7:$H$253,'Manuell filtrering og justering'!$H$1,FALSE)</f>
        <v>1</v>
      </c>
      <c r="AA217" s="169">
        <f t="shared" ref="AA217:AA230" si="569">IF(SUM(U217:Y217)&gt;T217,T217,SUM(U217:Y217))</f>
        <v>0</v>
      </c>
      <c r="AB217" s="170">
        <f>IF($AC$5='Manuell filtrering og justering'!$J$2,Z217,(T217-AA217))</f>
        <v>1</v>
      </c>
      <c r="AD217" s="171">
        <f>(Inn_Weight/Inn_Credits)*Inn01_credits</f>
        <v>0.01</v>
      </c>
      <c r="AE217" s="171">
        <f t="shared" ref="AE217:AE230" si="570">IF(AB217=0,0,(AD217/AB217)*AI217)</f>
        <v>0</v>
      </c>
      <c r="AF217" s="171">
        <f t="shared" ref="AF217:AF230" si="571">IF(AB217=0,0,(AD217/AB217)*AJ217)</f>
        <v>0</v>
      </c>
      <c r="AG217" s="171">
        <f t="shared" ref="AG217:AG230" si="572">IF(AB217=0,0,(AD217/AB217)*AK217)</f>
        <v>0</v>
      </c>
      <c r="AI217" s="214">
        <f>IF(VLOOKUP(E217,'Pre-Assessment Estimator'!$E$11:$Z$225,'Pre-Assessment Estimator'!$G$2,FALSE)&gt;AB217,AB217,VLOOKUP(E217,'Pre-Assessment Estimator'!$E$11:$Z$225,'Pre-Assessment Estimator'!$G$2,FALSE))</f>
        <v>0</v>
      </c>
      <c r="AJ217" s="172">
        <f>IF(VLOOKUP(E217,'Pre-Assessment Estimator'!$E$11:$Z$225,'Pre-Assessment Estimator'!$N$2,FALSE)&gt;AB217,AB217,VLOOKUP(E217,'Pre-Assessment Estimator'!$E$11:$Z$225,'Pre-Assessment Estimator'!$N$2,FALSE))</f>
        <v>0</v>
      </c>
      <c r="AK217" s="172">
        <f>IF(VLOOKUP(E217,'Pre-Assessment Estimator'!$E$11:$Z$225,'Pre-Assessment Estimator'!$U$2,FALSE)&gt;AB217,AB217,VLOOKUP(E217,'Pre-Assessment Estimator'!$E$11:$Z$225,'Pre-Assessment Estimator'!$U$2,FALSE))</f>
        <v>0</v>
      </c>
      <c r="AM217" s="298"/>
      <c r="AN217" s="299"/>
      <c r="AO217" s="299"/>
      <c r="AP217" s="299"/>
      <c r="AQ217" s="721"/>
      <c r="AR217" s="139"/>
      <c r="AS217" s="298"/>
      <c r="AT217" s="299"/>
      <c r="AU217" s="299"/>
      <c r="AV217" s="299"/>
      <c r="AW217" s="300"/>
      <c r="AY217" s="218"/>
      <c r="AZ217" s="219"/>
      <c r="BA217" s="219"/>
      <c r="BB217" s="219"/>
      <c r="BC217" s="716">
        <f t="shared" si="540"/>
        <v>0</v>
      </c>
      <c r="BD217" s="174">
        <f t="shared" si="461"/>
        <v>9</v>
      </c>
      <c r="BE217" s="164" t="str">
        <f t="shared" ref="BE217:BE230" si="573">VLOOKUP(BD217,$BO$283:$BT$289,6,FALSE)</f>
        <v>N/A</v>
      </c>
      <c r="BF217" s="178"/>
      <c r="BG217" s="174">
        <f t="shared" ref="BG217:BG225" si="574">IF(BC217=0,9,IF(AJ217&gt;=BC217,5,IF(AJ217&gt;=BB217,4,IF(AJ217&gt;=BA217,3,IF(AJ217&gt;=AZ217,2,IF(AJ217&lt;AY217,0,1))))))</f>
        <v>9</v>
      </c>
      <c r="BH217" s="164" t="str">
        <f t="shared" ref="BH217:BH230" si="575">VLOOKUP(BG217,$BO$283:$BT$289,6,FALSE)</f>
        <v>N/A</v>
      </c>
      <c r="BI217" s="178"/>
      <c r="BJ217" s="174">
        <f t="shared" si="444"/>
        <v>9</v>
      </c>
      <c r="BK217" s="164" t="str">
        <f t="shared" ref="BK217:BK230" si="576">VLOOKUP(BJ217,$BO$283:$BT$289,6,FALSE)</f>
        <v>N/A</v>
      </c>
      <c r="BL217" s="178"/>
      <c r="BO217" s="167"/>
      <c r="BP217" s="167"/>
      <c r="BQ217" s="167" t="str">
        <f t="shared" si="551"/>
        <v/>
      </c>
      <c r="BR217" s="167">
        <f t="shared" si="396"/>
        <v>9</v>
      </c>
      <c r="BS217" s="167">
        <f t="shared" si="397"/>
        <v>9</v>
      </c>
      <c r="BT217" s="167">
        <f t="shared" si="398"/>
        <v>9</v>
      </c>
      <c r="BW217" s="164" t="str">
        <f t="shared" ref="BW217:BW225" si="577">D217</f>
        <v>Inn 01</v>
      </c>
      <c r="BX217" s="164" t="str">
        <f>IFERROR(VLOOKUP($E217,'Pre-Assessment Estimator'!$E$11:$AB$225,'Pre-Assessment Estimator'!AB$2,FALSE),"")</f>
        <v>N/A</v>
      </c>
      <c r="BY217" s="164">
        <f>IFERROR(VLOOKUP($E217,'Pre-Assessment Estimator'!$E$11:$AI$225,'Pre-Assessment Estimator'!AI$2,FALSE),"")</f>
        <v>0</v>
      </c>
      <c r="BZ217" s="164">
        <f t="shared" si="564"/>
        <v>1</v>
      </c>
      <c r="CA217" s="164">
        <f t="shared" si="565"/>
        <v>0</v>
      </c>
      <c r="CB217" s="164"/>
      <c r="CC217" s="96" t="str">
        <f t="shared" si="566"/>
        <v/>
      </c>
    </row>
    <row r="218" spans="1:85" x14ac:dyDescent="0.25">
      <c r="A218" s="96">
        <v>210</v>
      </c>
      <c r="B218" s="130" t="str">
        <f t="shared" ref="B218:B230" si="578">D218</f>
        <v>Inn 02</v>
      </c>
      <c r="C218" s="96" t="s">
        <v>118</v>
      </c>
      <c r="D218" s="166" t="s">
        <v>192</v>
      </c>
      <c r="E218" s="1183" t="str">
        <f t="shared" si="567"/>
        <v xml:space="preserve">Inn 02 - Hea 01: View out, high level </v>
      </c>
      <c r="F218" s="775">
        <v>1</v>
      </c>
      <c r="G218" s="775">
        <v>1</v>
      </c>
      <c r="H218" s="775">
        <v>1</v>
      </c>
      <c r="I218" s="775">
        <v>1</v>
      </c>
      <c r="J218" s="775">
        <v>1</v>
      </c>
      <c r="K218" s="775">
        <v>1</v>
      </c>
      <c r="L218" s="775">
        <v>1</v>
      </c>
      <c r="M218" s="775">
        <v>1</v>
      </c>
      <c r="N218" s="775">
        <v>1</v>
      </c>
      <c r="O218" s="775">
        <v>1</v>
      </c>
      <c r="P218" s="775">
        <v>1</v>
      </c>
      <c r="Q218" s="1130">
        <v>1</v>
      </c>
      <c r="R218" s="1130">
        <v>1</v>
      </c>
      <c r="T218" s="221">
        <f t="shared" si="568"/>
        <v>1</v>
      </c>
      <c r="U218" s="166"/>
      <c r="V218" s="167"/>
      <c r="W218" s="167"/>
      <c r="X218" s="168">
        <f>'Manuell filtrering og justering'!E95</f>
        <v>0</v>
      </c>
      <c r="Y218" s="169"/>
      <c r="Z218" s="1160">
        <f>VLOOKUP(B218,'Manuell filtrering og justering'!$A$7:$H$253,'Manuell filtrering og justering'!$H$1,FALSE)</f>
        <v>0</v>
      </c>
      <c r="AA218" s="169">
        <f t="shared" si="569"/>
        <v>0</v>
      </c>
      <c r="AB218" s="170">
        <f>IF($AC$5='Manuell filtrering og justering'!$J$2,Z218,(T218-AA218))</f>
        <v>1</v>
      </c>
      <c r="AD218" s="171">
        <f>(Inn_Weight/Inn_Credits)*Inn02_credits</f>
        <v>0.01</v>
      </c>
      <c r="AE218" s="171">
        <f t="shared" si="570"/>
        <v>0</v>
      </c>
      <c r="AF218" s="171">
        <f t="shared" si="571"/>
        <v>0</v>
      </c>
      <c r="AG218" s="171">
        <f t="shared" si="572"/>
        <v>0</v>
      </c>
      <c r="AI218" s="214">
        <f>IF(VLOOKUP(E218,'Pre-Assessment Estimator'!$E$11:$Z$225,'Pre-Assessment Estimator'!$G$2,FALSE)&gt;AB218,AB218,VLOOKUP(E218,'Pre-Assessment Estimator'!$E$11:$Z$225,'Pre-Assessment Estimator'!$G$2,FALSE))</f>
        <v>0</v>
      </c>
      <c r="AJ218" s="172">
        <f>IF(VLOOKUP(E218,'Pre-Assessment Estimator'!$E$11:$Z$225,'Pre-Assessment Estimator'!$N$2,FALSE)&gt;AB218,AB218,VLOOKUP(E218,'Pre-Assessment Estimator'!$E$11:$Z$225,'Pre-Assessment Estimator'!$N$2,FALSE))</f>
        <v>0</v>
      </c>
      <c r="AK218" s="172">
        <f>IF(VLOOKUP(E218,'Pre-Assessment Estimator'!$E$11:$Z$225,'Pre-Assessment Estimator'!$U$2,FALSE)&gt;AB218,AB218,VLOOKUP(E218,'Pre-Assessment Estimator'!$E$11:$Z$225,'Pre-Assessment Estimator'!$U$2,FALSE))</f>
        <v>0</v>
      </c>
      <c r="AM218" s="292"/>
      <c r="AN218" s="293"/>
      <c r="AO218" s="293"/>
      <c r="AP218" s="293"/>
      <c r="AQ218" s="722"/>
      <c r="AR218" s="139"/>
      <c r="AS218" s="292"/>
      <c r="AT218" s="293"/>
      <c r="AU218" s="293"/>
      <c r="AV218" s="293"/>
      <c r="AW218" s="294"/>
      <c r="AY218" s="188"/>
      <c r="AZ218" s="189"/>
      <c r="BA218" s="189"/>
      <c r="BB218" s="189"/>
      <c r="BC218" s="717">
        <f t="shared" si="540"/>
        <v>0</v>
      </c>
      <c r="BD218" s="182">
        <f t="shared" si="461"/>
        <v>9</v>
      </c>
      <c r="BE218" s="164" t="str">
        <f t="shared" si="573"/>
        <v>N/A</v>
      </c>
      <c r="BF218" s="185"/>
      <c r="BG218" s="182">
        <f t="shared" si="574"/>
        <v>9</v>
      </c>
      <c r="BH218" s="164" t="str">
        <f t="shared" si="575"/>
        <v>N/A</v>
      </c>
      <c r="BI218" s="185"/>
      <c r="BJ218" s="182">
        <f t="shared" si="444"/>
        <v>9</v>
      </c>
      <c r="BK218" s="164" t="str">
        <f t="shared" si="576"/>
        <v>N/A</v>
      </c>
      <c r="BL218" s="185"/>
      <c r="BO218" s="167"/>
      <c r="BP218" s="167"/>
      <c r="BQ218" s="167" t="str">
        <f t="shared" si="551"/>
        <v/>
      </c>
      <c r="BR218" s="167">
        <f t="shared" si="396"/>
        <v>9</v>
      </c>
      <c r="BS218" s="167">
        <f t="shared" si="397"/>
        <v>9</v>
      </c>
      <c r="BT218" s="167">
        <f t="shared" si="398"/>
        <v>9</v>
      </c>
      <c r="BW218" s="167" t="str">
        <f t="shared" si="577"/>
        <v>Inn 02</v>
      </c>
      <c r="BX218" s="167" t="str">
        <f>IFERROR(VLOOKUP($E218,'Pre-Assessment Estimator'!$E$11:$AB$225,'Pre-Assessment Estimator'!AB$2,FALSE),"")</f>
        <v>N/A</v>
      </c>
      <c r="BY218" s="167">
        <f>IFERROR(VLOOKUP($E218,'Pre-Assessment Estimator'!$E$11:$AI$225,'Pre-Assessment Estimator'!AI$2,FALSE),"")</f>
        <v>0</v>
      </c>
      <c r="BZ218" s="167">
        <f t="shared" si="564"/>
        <v>1</v>
      </c>
      <c r="CA218" s="167">
        <f t="shared" si="565"/>
        <v>0</v>
      </c>
      <c r="CB218" s="167"/>
      <c r="CC218" s="96" t="str">
        <f t="shared" si="566"/>
        <v/>
      </c>
    </row>
    <row r="219" spans="1:85" x14ac:dyDescent="0.25">
      <c r="A219" s="96">
        <v>211</v>
      </c>
      <c r="B219" s="130" t="str">
        <f t="shared" si="578"/>
        <v>Inn 03</v>
      </c>
      <c r="C219" s="96" t="s">
        <v>119</v>
      </c>
      <c r="D219" s="166" t="s">
        <v>193</v>
      </c>
      <c r="E219" s="167" t="str">
        <f t="shared" si="567"/>
        <v>Inn 03 - Hea 02: Emissions from construction products</v>
      </c>
      <c r="F219" s="775">
        <v>1</v>
      </c>
      <c r="G219" s="775">
        <v>1</v>
      </c>
      <c r="H219" s="775">
        <v>1</v>
      </c>
      <c r="I219" s="775">
        <v>1</v>
      </c>
      <c r="J219" s="775">
        <v>1</v>
      </c>
      <c r="K219" s="775">
        <v>1</v>
      </c>
      <c r="L219" s="775">
        <v>1</v>
      </c>
      <c r="M219" s="775">
        <v>1</v>
      </c>
      <c r="N219" s="775">
        <v>1</v>
      </c>
      <c r="O219" s="775">
        <v>1</v>
      </c>
      <c r="P219" s="775">
        <v>1</v>
      </c>
      <c r="Q219" s="1130">
        <v>1</v>
      </c>
      <c r="R219" s="1130">
        <v>1</v>
      </c>
      <c r="T219" s="221">
        <f t="shared" si="568"/>
        <v>1</v>
      </c>
      <c r="U219" s="166">
        <f>IF(Hea02_credits=0,T219,0)</f>
        <v>0</v>
      </c>
      <c r="V219" s="167"/>
      <c r="W219" s="167"/>
      <c r="X219" s="168">
        <f>'Manuell filtrering og justering'!E96</f>
        <v>0</v>
      </c>
      <c r="Y219" s="169">
        <f>IF($Y$4=$Y$6,T219,0)</f>
        <v>0</v>
      </c>
      <c r="Z219" s="1160">
        <f>VLOOKUP(B219,'Manuell filtrering og justering'!$A$7:$H$253,'Manuell filtrering og justering'!$H$1,FALSE)</f>
        <v>1</v>
      </c>
      <c r="AA219" s="169">
        <f t="shared" si="569"/>
        <v>0</v>
      </c>
      <c r="AB219" s="170">
        <f>IF($AC$5='Manuell filtrering og justering'!$J$2,Z219,(T219-AA219))</f>
        <v>1</v>
      </c>
      <c r="AD219" s="171">
        <f>(Inn_Weight/Inn_Credits)*Inn03_credits</f>
        <v>0.01</v>
      </c>
      <c r="AE219" s="171">
        <f t="shared" si="570"/>
        <v>0</v>
      </c>
      <c r="AF219" s="171">
        <f t="shared" si="571"/>
        <v>0</v>
      </c>
      <c r="AG219" s="171">
        <f t="shared" si="572"/>
        <v>0</v>
      </c>
      <c r="AI219" s="214">
        <f>IF(VLOOKUP(E219,'Pre-Assessment Estimator'!$E$11:$Z$225,'Pre-Assessment Estimator'!$G$2,FALSE)&gt;AB219,AB219,VLOOKUP(E219,'Pre-Assessment Estimator'!$E$11:$Z$225,'Pre-Assessment Estimator'!$G$2,FALSE))</f>
        <v>0</v>
      </c>
      <c r="AJ219" s="172">
        <f>IF(VLOOKUP(E219,'Pre-Assessment Estimator'!$E$11:$Z$225,'Pre-Assessment Estimator'!$N$2,FALSE)&gt;AB219,AB219,VLOOKUP(E219,'Pre-Assessment Estimator'!$E$11:$Z$225,'Pre-Assessment Estimator'!$N$2,FALSE))</f>
        <v>0</v>
      </c>
      <c r="AK219" s="172">
        <f>IF(VLOOKUP(E219,'Pre-Assessment Estimator'!$E$11:$Z$225,'Pre-Assessment Estimator'!$U$2,FALSE)&gt;AB219,AB219,VLOOKUP(E219,'Pre-Assessment Estimator'!$E$11:$Z$225,'Pre-Assessment Estimator'!$U$2,FALSE))</f>
        <v>0</v>
      </c>
      <c r="AM219" s="292"/>
      <c r="AN219" s="293"/>
      <c r="AO219" s="293"/>
      <c r="AP219" s="293"/>
      <c r="AQ219" s="722"/>
      <c r="AR219" s="139"/>
      <c r="AS219" s="292"/>
      <c r="AT219" s="293"/>
      <c r="AU219" s="293"/>
      <c r="AV219" s="293"/>
      <c r="AW219" s="294"/>
      <c r="AY219" s="188"/>
      <c r="AZ219" s="189"/>
      <c r="BA219" s="189"/>
      <c r="BB219" s="189"/>
      <c r="BC219" s="717">
        <f t="shared" si="540"/>
        <v>0</v>
      </c>
      <c r="BD219" s="182">
        <f t="shared" si="461"/>
        <v>9</v>
      </c>
      <c r="BE219" s="164" t="str">
        <f t="shared" si="573"/>
        <v>N/A</v>
      </c>
      <c r="BF219" s="185"/>
      <c r="BG219" s="182">
        <f t="shared" si="574"/>
        <v>9</v>
      </c>
      <c r="BH219" s="164" t="str">
        <f t="shared" si="575"/>
        <v>N/A</v>
      </c>
      <c r="BI219" s="185"/>
      <c r="BJ219" s="182">
        <f t="shared" si="444"/>
        <v>9</v>
      </c>
      <c r="BK219" s="164" t="str">
        <f t="shared" si="576"/>
        <v>N/A</v>
      </c>
      <c r="BL219" s="185"/>
      <c r="BO219" s="167"/>
      <c r="BP219" s="167"/>
      <c r="BQ219" s="167" t="str">
        <f t="shared" si="551"/>
        <v/>
      </c>
      <c r="BR219" s="167">
        <f t="shared" si="396"/>
        <v>9</v>
      </c>
      <c r="BS219" s="167">
        <f t="shared" si="397"/>
        <v>9</v>
      </c>
      <c r="BT219" s="167">
        <f t="shared" si="398"/>
        <v>9</v>
      </c>
      <c r="BW219" s="167" t="str">
        <f t="shared" si="577"/>
        <v>Inn 03</v>
      </c>
      <c r="BX219" s="167" t="str">
        <f>IFERROR(VLOOKUP($E219,'Pre-Assessment Estimator'!$E$11:$AB$225,'Pre-Assessment Estimator'!AB$2,FALSE),"")</f>
        <v>N/A</v>
      </c>
      <c r="BY219" s="167">
        <f>IFERROR(VLOOKUP($E219,'Pre-Assessment Estimator'!$E$11:$AI$225,'Pre-Assessment Estimator'!AI$2,FALSE),"")</f>
        <v>0</v>
      </c>
      <c r="BZ219" s="167">
        <f t="shared" si="564"/>
        <v>1</v>
      </c>
      <c r="CA219" s="167">
        <f t="shared" si="565"/>
        <v>0</v>
      </c>
      <c r="CB219" s="167"/>
      <c r="CC219" s="96" t="str">
        <f t="shared" si="566"/>
        <v/>
      </c>
    </row>
    <row r="220" spans="1:85" x14ac:dyDescent="0.25">
      <c r="A220" s="96">
        <v>212</v>
      </c>
      <c r="B220" s="130" t="str">
        <f t="shared" si="578"/>
        <v>Inn 04</v>
      </c>
      <c r="C220" s="96" t="s">
        <v>123</v>
      </c>
      <c r="D220" s="166" t="s">
        <v>194</v>
      </c>
      <c r="E220" s="167" t="str">
        <f t="shared" si="567"/>
        <v xml:space="preserve">Inn 04 - Hea 06: Biofilik design </v>
      </c>
      <c r="F220" s="775">
        <v>1</v>
      </c>
      <c r="G220" s="775">
        <v>1</v>
      </c>
      <c r="H220" s="775">
        <v>1</v>
      </c>
      <c r="I220" s="775">
        <v>1</v>
      </c>
      <c r="J220" s="775">
        <v>1</v>
      </c>
      <c r="K220" s="775">
        <v>1</v>
      </c>
      <c r="L220" s="775">
        <v>1</v>
      </c>
      <c r="M220" s="775">
        <v>1</v>
      </c>
      <c r="N220" s="775">
        <v>1</v>
      </c>
      <c r="O220" s="775">
        <v>1</v>
      </c>
      <c r="P220" s="775">
        <v>1</v>
      </c>
      <c r="Q220" s="1130">
        <v>1</v>
      </c>
      <c r="R220" s="1130">
        <v>1</v>
      </c>
      <c r="T220" s="221">
        <f t="shared" si="568"/>
        <v>1</v>
      </c>
      <c r="U220" s="166"/>
      <c r="V220" s="167"/>
      <c r="W220" s="167"/>
      <c r="X220" s="168">
        <f>'Manuell filtrering og justering'!E97</f>
        <v>0</v>
      </c>
      <c r="Y220" s="169">
        <f>IF(OR($Y$4=$Y$5,$Y$4=$Y$6),T220,0)</f>
        <v>0</v>
      </c>
      <c r="Z220" s="1160">
        <f>VLOOKUP(B220,'Manuell filtrering og justering'!$A$7:$H$253,'Manuell filtrering og justering'!$H$1,FALSE)</f>
        <v>1</v>
      </c>
      <c r="AA220" s="169">
        <f t="shared" si="569"/>
        <v>0</v>
      </c>
      <c r="AB220" s="170">
        <f>IF($AC$5='Manuell filtrering og justering'!$J$2,Z220,(T220-AA220))</f>
        <v>1</v>
      </c>
      <c r="AD220" s="171">
        <f>(Inn_Weight/Inn_Credits)*Inn04_credits</f>
        <v>0.01</v>
      </c>
      <c r="AE220" s="171">
        <f t="shared" si="570"/>
        <v>0</v>
      </c>
      <c r="AF220" s="171">
        <f t="shared" si="571"/>
        <v>0</v>
      </c>
      <c r="AG220" s="171">
        <f t="shared" si="572"/>
        <v>0</v>
      </c>
      <c r="AI220" s="214">
        <f>IF(VLOOKUP(E220,'Pre-Assessment Estimator'!$E$11:$Z$225,'Pre-Assessment Estimator'!$G$2,FALSE)&gt;AB220,AB220,VLOOKUP(E220,'Pre-Assessment Estimator'!$E$11:$Z$225,'Pre-Assessment Estimator'!$G$2,FALSE))</f>
        <v>0</v>
      </c>
      <c r="AJ220" s="172">
        <f>IF(VLOOKUP(E220,'Pre-Assessment Estimator'!$E$11:$Z$225,'Pre-Assessment Estimator'!$N$2,FALSE)&gt;AB220,AB220,VLOOKUP(E220,'Pre-Assessment Estimator'!$E$11:$Z$225,'Pre-Assessment Estimator'!$N$2,FALSE))</f>
        <v>0</v>
      </c>
      <c r="AK220" s="172">
        <f>IF(VLOOKUP(E220,'Pre-Assessment Estimator'!$E$11:$Z$225,'Pre-Assessment Estimator'!$U$2,FALSE)&gt;AB220,AB220,VLOOKUP(E220,'Pre-Assessment Estimator'!$E$11:$Z$225,'Pre-Assessment Estimator'!$U$2,FALSE))</f>
        <v>0</v>
      </c>
      <c r="AM220" s="292"/>
      <c r="AN220" s="293"/>
      <c r="AO220" s="293"/>
      <c r="AP220" s="293"/>
      <c r="AQ220" s="722"/>
      <c r="AR220" s="139"/>
      <c r="AS220" s="292"/>
      <c r="AT220" s="293"/>
      <c r="AU220" s="293"/>
      <c r="AV220" s="293"/>
      <c r="AW220" s="294"/>
      <c r="AY220" s="188"/>
      <c r="AZ220" s="189"/>
      <c r="BA220" s="189"/>
      <c r="BB220" s="189"/>
      <c r="BC220" s="717">
        <f t="shared" si="540"/>
        <v>0</v>
      </c>
      <c r="BD220" s="182">
        <f t="shared" si="461"/>
        <v>9</v>
      </c>
      <c r="BE220" s="164" t="str">
        <f t="shared" si="573"/>
        <v>N/A</v>
      </c>
      <c r="BF220" s="185"/>
      <c r="BG220" s="182">
        <f t="shared" si="574"/>
        <v>9</v>
      </c>
      <c r="BH220" s="164" t="str">
        <f t="shared" si="575"/>
        <v>N/A</v>
      </c>
      <c r="BI220" s="185"/>
      <c r="BJ220" s="182">
        <f t="shared" si="444"/>
        <v>9</v>
      </c>
      <c r="BK220" s="164" t="str">
        <f t="shared" si="576"/>
        <v>N/A</v>
      </c>
      <c r="BL220" s="185"/>
      <c r="BO220" s="167"/>
      <c r="BP220" s="167"/>
      <c r="BQ220" s="167" t="str">
        <f t="shared" si="551"/>
        <v/>
      </c>
      <c r="BR220" s="167">
        <f t="shared" si="396"/>
        <v>9</v>
      </c>
      <c r="BS220" s="167">
        <f t="shared" si="397"/>
        <v>9</v>
      </c>
      <c r="BT220" s="167">
        <f t="shared" si="398"/>
        <v>9</v>
      </c>
      <c r="BW220" s="167" t="str">
        <f t="shared" si="577"/>
        <v>Inn 04</v>
      </c>
      <c r="BX220" s="167" t="str">
        <f>IFERROR(VLOOKUP($E220,'Pre-Assessment Estimator'!$E$11:$AB$225,'Pre-Assessment Estimator'!AB$2,FALSE),"")</f>
        <v>N/A</v>
      </c>
      <c r="BY220" s="167">
        <f>IFERROR(VLOOKUP($E220,'Pre-Assessment Estimator'!$E$11:$AI$225,'Pre-Assessment Estimator'!AI$2,FALSE),"")</f>
        <v>0</v>
      </c>
      <c r="BZ220" s="167">
        <f t="shared" si="564"/>
        <v>1</v>
      </c>
      <c r="CA220" s="167">
        <f t="shared" si="565"/>
        <v>0</v>
      </c>
      <c r="CB220" s="167"/>
      <c r="CC220" s="96" t="str">
        <f t="shared" si="566"/>
        <v/>
      </c>
    </row>
    <row r="221" spans="1:85" x14ac:dyDescent="0.25">
      <c r="A221" s="96">
        <v>213</v>
      </c>
      <c r="B221" s="130" t="str">
        <f t="shared" si="578"/>
        <v>Inn 05</v>
      </c>
      <c r="C221" s="96" t="s">
        <v>136</v>
      </c>
      <c r="D221" s="166" t="s">
        <v>195</v>
      </c>
      <c r="E221" s="1132" t="str">
        <f t="shared" si="567"/>
        <v xml:space="preserve">Inn 05 - Ene 01: Post-occupancy stage </v>
      </c>
      <c r="F221" s="767">
        <v>2</v>
      </c>
      <c r="G221" s="767">
        <v>2</v>
      </c>
      <c r="H221" s="767">
        <v>2</v>
      </c>
      <c r="I221" s="767">
        <v>2</v>
      </c>
      <c r="J221" s="767">
        <v>2</v>
      </c>
      <c r="K221" s="767">
        <v>2</v>
      </c>
      <c r="L221" s="767">
        <v>2</v>
      </c>
      <c r="M221" s="767">
        <v>2</v>
      </c>
      <c r="N221" s="767">
        <v>2</v>
      </c>
      <c r="O221" s="767">
        <v>2</v>
      </c>
      <c r="P221" s="767">
        <v>2</v>
      </c>
      <c r="Q221" s="768">
        <v>2</v>
      </c>
      <c r="R221" s="768">
        <v>2</v>
      </c>
      <c r="T221" s="221">
        <f t="shared" si="568"/>
        <v>2</v>
      </c>
      <c r="U221" s="166"/>
      <c r="V221" s="167"/>
      <c r="W221" s="167"/>
      <c r="X221" s="168">
        <f>'Manuell filtrering og justering'!E98</f>
        <v>0</v>
      </c>
      <c r="Y221" s="169">
        <f>IF($Y$4=$Y$6,T221,0)</f>
        <v>0</v>
      </c>
      <c r="Z221" s="1160">
        <f>VLOOKUP(B221,'Manuell filtrering og justering'!$A$7:$H$253,'Manuell filtrering og justering'!$H$1,FALSE)</f>
        <v>4</v>
      </c>
      <c r="AA221" s="169">
        <f t="shared" si="569"/>
        <v>0</v>
      </c>
      <c r="AB221" s="170">
        <f>IF($AC$5='Manuell filtrering og justering'!$J$2,Z221,(T221-AA221))</f>
        <v>2</v>
      </c>
      <c r="AD221" s="171">
        <f>(Inn_Weight/Inn_Credits)*Inn05_credits</f>
        <v>0.02</v>
      </c>
      <c r="AE221" s="171">
        <f t="shared" si="570"/>
        <v>0</v>
      </c>
      <c r="AF221" s="171">
        <f t="shared" si="571"/>
        <v>0</v>
      </c>
      <c r="AG221" s="171">
        <f t="shared" si="572"/>
        <v>0</v>
      </c>
      <c r="AI221" s="1071">
        <f>IF(OR(AI74&lt;&gt;AB74,Ene02_user&lt;&gt;Ene02_credits),0,IF(VLOOKUP(E221,'Pre-Assessment Estimator'!$E$11:$Z$225,'Pre-Assessment Estimator'!$G$2,FALSE)&gt;AB221,AB221,VLOOKUP(E221,'Pre-Assessment Estimator'!$E$11:$Z$225,'Pre-Assessment Estimator'!$G$2,FALSE)))</f>
        <v>0</v>
      </c>
      <c r="AJ221" s="1068">
        <f>IF(OR(AJ74&lt;&gt;AB74,AJ75&lt;&gt;Ene02_credits),0,IF(VLOOKUP(E221,'Pre-Assessment Estimator'!$E$11:$Z$225,'Pre-Assessment Estimator'!$N$2,FALSE)&gt;AB221,AB221,VLOOKUP(E221,'Pre-Assessment Estimator'!$E$11:$Z$225,'Pre-Assessment Estimator'!$N$2,FALSE)))</f>
        <v>0</v>
      </c>
      <c r="AK221" s="1068">
        <f>IF(OR(AK74&lt;&gt;AB74,AK75&lt;&gt;Ene02_credits),0,IF(VLOOKUP(E221,'Pre-Assessment Estimator'!$E$11:$Z$225,'Pre-Assessment Estimator'!$U$2,FALSE)&gt;AB221,AB221,VLOOKUP(E221,'Pre-Assessment Estimator'!$E$11:$Z$225,'Pre-Assessment Estimator'!$U$2,FALSE)))</f>
        <v>0</v>
      </c>
      <c r="AM221" s="292"/>
      <c r="AN221" s="293"/>
      <c r="AO221" s="293"/>
      <c r="AP221" s="293"/>
      <c r="AQ221" s="722"/>
      <c r="AR221" s="139"/>
      <c r="AS221" s="292"/>
      <c r="AT221" s="293"/>
      <c r="AU221" s="293"/>
      <c r="AV221" s="293"/>
      <c r="AW221" s="294"/>
      <c r="AY221" s="188"/>
      <c r="AZ221" s="189"/>
      <c r="BA221" s="189"/>
      <c r="BB221" s="189"/>
      <c r="BC221" s="717">
        <f t="shared" si="540"/>
        <v>0</v>
      </c>
      <c r="BD221" s="182">
        <f t="shared" si="461"/>
        <v>9</v>
      </c>
      <c r="BE221" s="164" t="str">
        <f t="shared" si="573"/>
        <v>N/A</v>
      </c>
      <c r="BF221" s="185"/>
      <c r="BG221" s="182">
        <f t="shared" si="574"/>
        <v>9</v>
      </c>
      <c r="BH221" s="164" t="str">
        <f t="shared" si="575"/>
        <v>N/A</v>
      </c>
      <c r="BI221" s="185"/>
      <c r="BJ221" s="182">
        <f t="shared" si="444"/>
        <v>9</v>
      </c>
      <c r="BK221" s="164" t="str">
        <f t="shared" si="576"/>
        <v>N/A</v>
      </c>
      <c r="BL221" s="185"/>
      <c r="BO221" s="167"/>
      <c r="BP221" s="167"/>
      <c r="BQ221" s="167" t="str">
        <f t="shared" si="551"/>
        <v/>
      </c>
      <c r="BR221" s="167">
        <f t="shared" si="396"/>
        <v>9</v>
      </c>
      <c r="BS221" s="167">
        <f t="shared" si="397"/>
        <v>9</v>
      </c>
      <c r="BT221" s="167">
        <f t="shared" si="398"/>
        <v>9</v>
      </c>
      <c r="BW221" s="167" t="str">
        <f t="shared" si="577"/>
        <v>Inn 05</v>
      </c>
      <c r="BX221" s="167" t="str">
        <f>IFERROR(VLOOKUP($E221,'Pre-Assessment Estimator'!$E$11:$AB$225,'Pre-Assessment Estimator'!AB$2,FALSE),"")</f>
        <v>N/A</v>
      </c>
      <c r="BY221" s="167">
        <f>IFERROR(VLOOKUP($E221,'Pre-Assessment Estimator'!$E$11:$AI$225,'Pre-Assessment Estimator'!AI$2,FALSE),"")</f>
        <v>0</v>
      </c>
      <c r="BZ221" s="167">
        <f t="shared" si="564"/>
        <v>1</v>
      </c>
      <c r="CA221" s="167">
        <f t="shared" si="565"/>
        <v>0</v>
      </c>
      <c r="CB221" s="167"/>
      <c r="CC221" s="96" t="str">
        <f t="shared" si="566"/>
        <v/>
      </c>
    </row>
    <row r="222" spans="1:85" x14ac:dyDescent="0.25">
      <c r="A222" s="96">
        <v>214</v>
      </c>
      <c r="B222" s="130" t="str">
        <f t="shared" si="578"/>
        <v>Inn 06</v>
      </c>
      <c r="C222" s="96" t="s">
        <v>136</v>
      </c>
      <c r="D222" s="166" t="s">
        <v>196</v>
      </c>
      <c r="E222" s="1132" t="str">
        <f t="shared" si="567"/>
        <v xml:space="preserve">Inn 06 - Ene 01: Plus house </v>
      </c>
      <c r="F222" s="767">
        <v>1</v>
      </c>
      <c r="G222" s="767">
        <v>1</v>
      </c>
      <c r="H222" s="767">
        <v>1</v>
      </c>
      <c r="I222" s="767">
        <v>1</v>
      </c>
      <c r="J222" s="767">
        <v>1</v>
      </c>
      <c r="K222" s="767">
        <v>1</v>
      </c>
      <c r="L222" s="767">
        <v>1</v>
      </c>
      <c r="M222" s="767">
        <v>1</v>
      </c>
      <c r="N222" s="767">
        <v>1</v>
      </c>
      <c r="O222" s="767">
        <v>1</v>
      </c>
      <c r="P222" s="767">
        <v>1</v>
      </c>
      <c r="Q222" s="768">
        <v>1</v>
      </c>
      <c r="R222" s="768">
        <v>1</v>
      </c>
      <c r="T222" s="221">
        <f t="shared" si="568"/>
        <v>1</v>
      </c>
      <c r="U222" s="166"/>
      <c r="V222" s="167"/>
      <c r="W222" s="167"/>
      <c r="X222" s="168">
        <f>'Manuell filtrering og justering'!E99</f>
        <v>0</v>
      </c>
      <c r="Y222" s="169">
        <f>IF($Y$4=$Y$6,T222,0)</f>
        <v>0</v>
      </c>
      <c r="Z222" s="1160">
        <f>VLOOKUP(B222,'Manuell filtrering og justering'!$A$7:$H$253,'Manuell filtrering og justering'!$H$1,FALSE)</f>
        <v>1</v>
      </c>
      <c r="AA222" s="169">
        <f t="shared" si="569"/>
        <v>0</v>
      </c>
      <c r="AB222" s="170">
        <f>IF($AC$5='Manuell filtrering og justering'!$J$2,Z222,(T222-AA222))</f>
        <v>1</v>
      </c>
      <c r="AD222" s="171">
        <f>(Inn_Weight/Inn_Credits)*Inn06_credits</f>
        <v>0.01</v>
      </c>
      <c r="AE222" s="171">
        <f t="shared" si="570"/>
        <v>0</v>
      </c>
      <c r="AF222" s="171">
        <f t="shared" si="571"/>
        <v>0</v>
      </c>
      <c r="AG222" s="171">
        <f t="shared" si="572"/>
        <v>0</v>
      </c>
      <c r="AI222" s="214">
        <f>IF(VLOOKUP(E222,'Pre-Assessment Estimator'!$E$11:$Z$225,'Pre-Assessment Estimator'!$G$2,FALSE)&gt;AB222,AB222,VLOOKUP(E222,'Pre-Assessment Estimator'!$E$11:$Z$225,'Pre-Assessment Estimator'!$G$2,FALSE))</f>
        <v>0</v>
      </c>
      <c r="AJ222" s="172">
        <f>IF(VLOOKUP(E222,'Pre-Assessment Estimator'!$E$11:$Z$225,'Pre-Assessment Estimator'!$N$2,FALSE)&gt;AB222,AB222,VLOOKUP(E222,'Pre-Assessment Estimator'!$E$11:$Z$225,'Pre-Assessment Estimator'!$N$2,FALSE))</f>
        <v>0</v>
      </c>
      <c r="AK222" s="172">
        <f>IF(VLOOKUP(E222,'Pre-Assessment Estimator'!$E$11:$Z$225,'Pre-Assessment Estimator'!$U$2,FALSE)&gt;AB222,AB222,VLOOKUP(E222,'Pre-Assessment Estimator'!$E$11:$Z$225,'Pre-Assessment Estimator'!$U$2,FALSE))</f>
        <v>0</v>
      </c>
      <c r="AM222" s="292"/>
      <c r="AN222" s="293"/>
      <c r="AO222" s="293"/>
      <c r="AP222" s="293"/>
      <c r="AQ222" s="722"/>
      <c r="AR222" s="139"/>
      <c r="AS222" s="292"/>
      <c r="AT222" s="293"/>
      <c r="AU222" s="293"/>
      <c r="AV222" s="293"/>
      <c r="AW222" s="294"/>
      <c r="AY222" s="188"/>
      <c r="AZ222" s="189"/>
      <c r="BA222" s="189"/>
      <c r="BB222" s="189"/>
      <c r="BC222" s="717">
        <f t="shared" si="540"/>
        <v>0</v>
      </c>
      <c r="BD222" s="182">
        <f t="shared" si="461"/>
        <v>9</v>
      </c>
      <c r="BE222" s="164" t="str">
        <f t="shared" si="573"/>
        <v>N/A</v>
      </c>
      <c r="BF222" s="185"/>
      <c r="BG222" s="182">
        <f t="shared" si="574"/>
        <v>9</v>
      </c>
      <c r="BH222" s="164" t="str">
        <f t="shared" si="575"/>
        <v>N/A</v>
      </c>
      <c r="BI222" s="185"/>
      <c r="BJ222" s="182">
        <f t="shared" si="444"/>
        <v>9</v>
      </c>
      <c r="BK222" s="164" t="str">
        <f t="shared" si="576"/>
        <v>N/A</v>
      </c>
      <c r="BL222" s="185"/>
      <c r="BO222" s="167"/>
      <c r="BP222" s="167"/>
      <c r="BQ222" s="167" t="str">
        <f t="shared" si="551"/>
        <v/>
      </c>
      <c r="BR222" s="167">
        <f t="shared" si="396"/>
        <v>9</v>
      </c>
      <c r="BS222" s="167">
        <f t="shared" si="397"/>
        <v>9</v>
      </c>
      <c r="BT222" s="167">
        <f t="shared" si="398"/>
        <v>9</v>
      </c>
      <c r="BW222" s="167" t="str">
        <f t="shared" si="577"/>
        <v>Inn 06</v>
      </c>
      <c r="BX222" s="167" t="str">
        <f>IFERROR(VLOOKUP($E222,'Pre-Assessment Estimator'!$E$11:$AB$225,'Pre-Assessment Estimator'!AB$2,FALSE),"")</f>
        <v>N/A</v>
      </c>
      <c r="BY222" s="167">
        <f>IFERROR(VLOOKUP($E222,'Pre-Assessment Estimator'!$E$11:$AI$225,'Pre-Assessment Estimator'!AI$2,FALSE),"")</f>
        <v>0</v>
      </c>
      <c r="BZ222" s="167">
        <f t="shared" si="564"/>
        <v>1</v>
      </c>
      <c r="CA222" s="167">
        <f t="shared" si="565"/>
        <v>0</v>
      </c>
      <c r="CB222" s="167"/>
      <c r="CC222" s="96" t="str">
        <f t="shared" si="566"/>
        <v/>
      </c>
    </row>
    <row r="223" spans="1:85" x14ac:dyDescent="0.25">
      <c r="A223" s="96">
        <v>215</v>
      </c>
      <c r="B223" s="130" t="str">
        <f t="shared" si="578"/>
        <v>Inn 07</v>
      </c>
      <c r="C223" s="96" t="s">
        <v>170</v>
      </c>
      <c r="D223" s="166" t="s">
        <v>197</v>
      </c>
      <c r="E223" s="167" t="str">
        <f t="shared" si="567"/>
        <v>Inn 07 - Wat 01: Highly water efficient components</v>
      </c>
      <c r="F223" s="775">
        <v>1</v>
      </c>
      <c r="G223" s="775">
        <v>1</v>
      </c>
      <c r="H223" s="775">
        <v>1</v>
      </c>
      <c r="I223" s="775">
        <v>1</v>
      </c>
      <c r="J223" s="775">
        <v>1</v>
      </c>
      <c r="K223" s="775">
        <v>1</v>
      </c>
      <c r="L223" s="775">
        <v>1</v>
      </c>
      <c r="M223" s="775">
        <v>1</v>
      </c>
      <c r="N223" s="775">
        <v>1</v>
      </c>
      <c r="O223" s="775">
        <v>1</v>
      </c>
      <c r="P223" s="775">
        <v>1</v>
      </c>
      <c r="Q223" s="1130">
        <v>1</v>
      </c>
      <c r="R223" s="1130">
        <v>1</v>
      </c>
      <c r="T223" s="221">
        <f t="shared" si="568"/>
        <v>1</v>
      </c>
      <c r="U223" s="166"/>
      <c r="V223" s="167"/>
      <c r="W223" s="167"/>
      <c r="X223" s="168">
        <f>'Manuell filtrering og justering'!E100</f>
        <v>0</v>
      </c>
      <c r="Y223" s="169"/>
      <c r="Z223" s="1160">
        <f>VLOOKUP(B223,'Manuell filtrering og justering'!$A$7:$H$253,'Manuell filtrering og justering'!$H$1,FALSE)</f>
        <v>1</v>
      </c>
      <c r="AA223" s="169">
        <f t="shared" si="569"/>
        <v>0</v>
      </c>
      <c r="AB223" s="170">
        <f>IF($AC$5='Manuell filtrering og justering'!$J$2,Z223,(T223-AA223))</f>
        <v>1</v>
      </c>
      <c r="AD223" s="171">
        <f>(Inn_Weight/Inn_Credits)*Inn07_credits</f>
        <v>0.01</v>
      </c>
      <c r="AE223" s="171">
        <f t="shared" si="570"/>
        <v>0</v>
      </c>
      <c r="AF223" s="171">
        <f t="shared" si="571"/>
        <v>0</v>
      </c>
      <c r="AG223" s="171">
        <f t="shared" si="572"/>
        <v>0</v>
      </c>
      <c r="AI223" s="214">
        <f>IF(VLOOKUP(E223,'Pre-Assessment Estimator'!$E$11:$Z$225,'Pre-Assessment Estimator'!$G$2,FALSE)&gt;AB223,AB223,VLOOKUP(E223,'Pre-Assessment Estimator'!$E$11:$Z$225,'Pre-Assessment Estimator'!$G$2,FALSE))</f>
        <v>0</v>
      </c>
      <c r="AJ223" s="172">
        <f>IF(VLOOKUP(E223,'Pre-Assessment Estimator'!$E$11:$Z$225,'Pre-Assessment Estimator'!$N$2,FALSE)&gt;AB223,AB223,VLOOKUP(E223,'Pre-Assessment Estimator'!$E$11:$Z$225,'Pre-Assessment Estimator'!$N$2,FALSE))</f>
        <v>0</v>
      </c>
      <c r="AK223" s="172">
        <f>IF(VLOOKUP(E223,'Pre-Assessment Estimator'!$E$11:$Z$225,'Pre-Assessment Estimator'!$U$2,FALSE)&gt;AB223,AB223,VLOOKUP(E223,'Pre-Assessment Estimator'!$E$11:$Z$225,'Pre-Assessment Estimator'!$U$2,FALSE))</f>
        <v>0</v>
      </c>
      <c r="AM223" s="292"/>
      <c r="AN223" s="293"/>
      <c r="AO223" s="293"/>
      <c r="AP223" s="293"/>
      <c r="AQ223" s="722"/>
      <c r="AR223" s="139"/>
      <c r="AS223" s="292"/>
      <c r="AT223" s="293"/>
      <c r="AU223" s="293"/>
      <c r="AV223" s="293"/>
      <c r="AW223" s="294"/>
      <c r="AY223" s="188"/>
      <c r="AZ223" s="189"/>
      <c r="BA223" s="189"/>
      <c r="BB223" s="189"/>
      <c r="BC223" s="717">
        <f t="shared" si="540"/>
        <v>0</v>
      </c>
      <c r="BD223" s="182">
        <f t="shared" si="461"/>
        <v>9</v>
      </c>
      <c r="BE223" s="164" t="str">
        <f t="shared" si="573"/>
        <v>N/A</v>
      </c>
      <c r="BF223" s="185"/>
      <c r="BG223" s="182">
        <f t="shared" si="574"/>
        <v>9</v>
      </c>
      <c r="BH223" s="164" t="str">
        <f t="shared" si="575"/>
        <v>N/A</v>
      </c>
      <c r="BI223" s="185"/>
      <c r="BJ223" s="182">
        <f t="shared" si="444"/>
        <v>9</v>
      </c>
      <c r="BK223" s="164" t="str">
        <f t="shared" si="576"/>
        <v>N/A</v>
      </c>
      <c r="BL223" s="185"/>
      <c r="BO223" s="167"/>
      <c r="BP223" s="167"/>
      <c r="BQ223" s="167" t="str">
        <f t="shared" si="551"/>
        <v/>
      </c>
      <c r="BR223" s="167">
        <f t="shared" ref="BR223:BR230" si="579">IF(BQ223="",9,(IF(AI223&gt;=BQ223,5,0)))</f>
        <v>9</v>
      </c>
      <c r="BS223" s="167">
        <f t="shared" ref="BS223:BS230" si="580">IF(BQ223="",9,(IF(AJ223&gt;=BQ223,5,0)))</f>
        <v>9</v>
      </c>
      <c r="BT223" s="167">
        <f t="shared" ref="BT223:BT230" si="581">IF(BQ223="",9,(IF(AK223&gt;=BQ223,5,0)))</f>
        <v>9</v>
      </c>
      <c r="BW223" s="167" t="str">
        <f t="shared" si="577"/>
        <v>Inn 07</v>
      </c>
      <c r="BX223" s="167" t="str">
        <f>IFERROR(VLOOKUP($E223,'Pre-Assessment Estimator'!$E$11:$AB$225,'Pre-Assessment Estimator'!AB$2,FALSE),"")</f>
        <v>N/A</v>
      </c>
      <c r="BY223" s="167">
        <f>IFERROR(VLOOKUP($E223,'Pre-Assessment Estimator'!$E$11:$AI$225,'Pre-Assessment Estimator'!AI$2,FALSE),"")</f>
        <v>0</v>
      </c>
      <c r="BZ223" s="167">
        <f t="shared" si="564"/>
        <v>1</v>
      </c>
      <c r="CA223" s="167">
        <f t="shared" si="565"/>
        <v>0</v>
      </c>
      <c r="CB223" s="167"/>
      <c r="CC223" s="96" t="str">
        <f t="shared" si="566"/>
        <v/>
      </c>
    </row>
    <row r="224" spans="1:85" x14ac:dyDescent="0.25">
      <c r="A224" s="96">
        <v>216</v>
      </c>
      <c r="B224" s="130" t="str">
        <f t="shared" si="578"/>
        <v>Inn 08</v>
      </c>
      <c r="C224" s="96" t="s">
        <v>174</v>
      </c>
      <c r="D224" s="166" t="s">
        <v>225</v>
      </c>
      <c r="E224" s="167" t="str">
        <f t="shared" si="567"/>
        <v xml:space="preserve">Inn 08 - Mat 01: 60% reduction of greenhouse gas emission </v>
      </c>
      <c r="F224" s="775">
        <v>1</v>
      </c>
      <c r="G224" s="775">
        <v>1</v>
      </c>
      <c r="H224" s="775">
        <v>1</v>
      </c>
      <c r="I224" s="775">
        <v>1</v>
      </c>
      <c r="J224" s="775">
        <v>1</v>
      </c>
      <c r="K224" s="775">
        <v>1</v>
      </c>
      <c r="L224" s="775">
        <v>1</v>
      </c>
      <c r="M224" s="775">
        <v>1</v>
      </c>
      <c r="N224" s="775">
        <v>1</v>
      </c>
      <c r="O224" s="775">
        <v>1</v>
      </c>
      <c r="P224" s="775">
        <v>1</v>
      </c>
      <c r="Q224" s="1130">
        <v>1</v>
      </c>
      <c r="R224" s="1130">
        <v>1</v>
      </c>
      <c r="T224" s="221">
        <f t="shared" si="568"/>
        <v>1</v>
      </c>
      <c r="U224" s="166"/>
      <c r="V224" s="167"/>
      <c r="W224" s="167"/>
      <c r="X224" s="168">
        <f>'Manuell filtrering og justering'!E101</f>
        <v>0</v>
      </c>
      <c r="Y224" s="169"/>
      <c r="Z224" s="1160">
        <f>VLOOKUP(B224,'Manuell filtrering og justering'!$A$7:$H$253,'Manuell filtrering og justering'!$H$1,FALSE)</f>
        <v>1</v>
      </c>
      <c r="AA224" s="169">
        <f t="shared" si="569"/>
        <v>0</v>
      </c>
      <c r="AB224" s="170">
        <f>IF($AC$5='Manuell filtrering og justering'!$J$2,Z224,(T224-AA224))</f>
        <v>1</v>
      </c>
      <c r="AD224" s="171">
        <f>(Inn_Weight/Inn_Credits)*Inn08_credits</f>
        <v>0.01</v>
      </c>
      <c r="AE224" s="171">
        <f t="shared" si="570"/>
        <v>0</v>
      </c>
      <c r="AF224" s="171">
        <f t="shared" si="571"/>
        <v>0</v>
      </c>
      <c r="AG224" s="171">
        <f t="shared" si="572"/>
        <v>0</v>
      </c>
      <c r="AI224" s="214">
        <f>IF(VLOOKUP(E224,'Pre-Assessment Estimator'!$E$11:$Z$225,'Pre-Assessment Estimator'!$G$2,FALSE)&gt;AB224,AB224,VLOOKUP(E224,'Pre-Assessment Estimator'!$E$11:$Z$225,'Pre-Assessment Estimator'!$G$2,FALSE))</f>
        <v>0</v>
      </c>
      <c r="AJ224" s="172">
        <f>IF(VLOOKUP(E224,'Pre-Assessment Estimator'!$E$11:$Z$225,'Pre-Assessment Estimator'!$N$2,FALSE)&gt;AB224,AB224,VLOOKUP(E224,'Pre-Assessment Estimator'!$E$11:$Z$225,'Pre-Assessment Estimator'!$N$2,FALSE))</f>
        <v>0</v>
      </c>
      <c r="AK224" s="172">
        <f>IF(VLOOKUP(E224,'Pre-Assessment Estimator'!$E$11:$Z$225,'Pre-Assessment Estimator'!$U$2,FALSE)&gt;AB224,AB224,VLOOKUP(E224,'Pre-Assessment Estimator'!$E$11:$Z$225,'Pre-Assessment Estimator'!$U$2,FALSE))</f>
        <v>0</v>
      </c>
      <c r="AM224" s="292"/>
      <c r="AN224" s="293"/>
      <c r="AO224" s="293"/>
      <c r="AP224" s="293"/>
      <c r="AQ224" s="722"/>
      <c r="AR224" s="139"/>
      <c r="AS224" s="292"/>
      <c r="AT224" s="293"/>
      <c r="AU224" s="293"/>
      <c r="AV224" s="293"/>
      <c r="AW224" s="294"/>
      <c r="AY224" s="188"/>
      <c r="AZ224" s="189"/>
      <c r="BA224" s="189"/>
      <c r="BB224" s="189"/>
      <c r="BC224" s="717">
        <f>IF($E$6=$H$9,AW224,AQ224)</f>
        <v>0</v>
      </c>
      <c r="BD224" s="182">
        <f t="shared" si="461"/>
        <v>9</v>
      </c>
      <c r="BE224" s="164" t="str">
        <f t="shared" si="573"/>
        <v>N/A</v>
      </c>
      <c r="BF224" s="185"/>
      <c r="BG224" s="182">
        <f t="shared" si="574"/>
        <v>9</v>
      </c>
      <c r="BH224" s="164" t="str">
        <f t="shared" si="575"/>
        <v>N/A</v>
      </c>
      <c r="BI224" s="185"/>
      <c r="BJ224" s="182">
        <f t="shared" si="444"/>
        <v>9</v>
      </c>
      <c r="BK224" s="164" t="str">
        <f t="shared" si="576"/>
        <v>N/A</v>
      </c>
      <c r="BL224" s="185"/>
      <c r="BO224" s="167"/>
      <c r="BP224" s="167"/>
      <c r="BQ224" s="167" t="str">
        <f t="shared" si="551"/>
        <v/>
      </c>
      <c r="BR224" s="167">
        <f t="shared" si="579"/>
        <v>9</v>
      </c>
      <c r="BS224" s="167">
        <f t="shared" si="580"/>
        <v>9</v>
      </c>
      <c r="BT224" s="167">
        <f t="shared" si="581"/>
        <v>9</v>
      </c>
      <c r="BW224" s="167" t="str">
        <f t="shared" si="577"/>
        <v>Inn 08</v>
      </c>
      <c r="BX224" s="167" t="str">
        <f>IFERROR(VLOOKUP($E224,'Pre-Assessment Estimator'!$E$11:$AB$225,'Pre-Assessment Estimator'!AB$2,FALSE),"")</f>
        <v>N/A</v>
      </c>
      <c r="BY224" s="167">
        <f>IFERROR(VLOOKUP($E224,'Pre-Assessment Estimator'!$E$11:$AI$225,'Pre-Assessment Estimator'!AI$2,FALSE),"")</f>
        <v>0</v>
      </c>
      <c r="BZ224" s="167">
        <f t="shared" si="564"/>
        <v>1</v>
      </c>
      <c r="CA224" s="167">
        <f t="shared" si="565"/>
        <v>0</v>
      </c>
      <c r="CB224" s="167"/>
      <c r="CC224" s="96" t="str">
        <f t="shared" si="566"/>
        <v/>
      </c>
    </row>
    <row r="225" spans="1:81" x14ac:dyDescent="0.25">
      <c r="A225" s="96">
        <v>217</v>
      </c>
      <c r="B225" s="130" t="str">
        <f t="shared" si="578"/>
        <v>Inn 09</v>
      </c>
      <c r="C225" s="96" t="s">
        <v>177</v>
      </c>
      <c r="D225" s="166" t="s">
        <v>255</v>
      </c>
      <c r="E225" s="167" t="str">
        <f t="shared" si="567"/>
        <v>Inn 09 - Mat 06: FutureBuilt criteria set for circular buildings, point 2.3 reuse of building components</v>
      </c>
      <c r="F225" s="775">
        <v>1</v>
      </c>
      <c r="G225" s="775">
        <v>1</v>
      </c>
      <c r="H225" s="775">
        <v>1</v>
      </c>
      <c r="I225" s="775">
        <v>1</v>
      </c>
      <c r="J225" s="775">
        <v>1</v>
      </c>
      <c r="K225" s="775">
        <v>1</v>
      </c>
      <c r="L225" s="775">
        <v>1</v>
      </c>
      <c r="M225" s="775">
        <v>1</v>
      </c>
      <c r="N225" s="775">
        <v>1</v>
      </c>
      <c r="O225" s="775">
        <v>1</v>
      </c>
      <c r="P225" s="775">
        <v>1</v>
      </c>
      <c r="Q225" s="1130">
        <v>1</v>
      </c>
      <c r="R225" s="1130">
        <v>1</v>
      </c>
      <c r="T225" s="221">
        <f t="shared" si="568"/>
        <v>1</v>
      </c>
      <c r="U225" s="192"/>
      <c r="V225" s="193"/>
      <c r="W225" s="193"/>
      <c r="X225" s="168">
        <f>'Manuell filtrering og justering'!E102</f>
        <v>0</v>
      </c>
      <c r="Y225" s="169"/>
      <c r="Z225" s="1160">
        <f>VLOOKUP(B225,'Manuell filtrering og justering'!$A$7:$H$253,'Manuell filtrering og justering'!$H$1,FALSE)</f>
        <v>1</v>
      </c>
      <c r="AA225" s="169">
        <f t="shared" si="569"/>
        <v>0</v>
      </c>
      <c r="AB225" s="170">
        <f>IF($AC$5='Manuell filtrering og justering'!$J$2,Z225,(T225-AA225))</f>
        <v>1</v>
      </c>
      <c r="AD225" s="171">
        <f>(Inn_Weight/Inn_Credits)*Inn09_credits</f>
        <v>0.01</v>
      </c>
      <c r="AE225" s="171">
        <f t="shared" si="570"/>
        <v>0</v>
      </c>
      <c r="AF225" s="171">
        <f t="shared" si="571"/>
        <v>0</v>
      </c>
      <c r="AG225" s="171">
        <f t="shared" si="572"/>
        <v>0</v>
      </c>
      <c r="AI225" s="214">
        <f>IF(VLOOKUP(E225,'Pre-Assessment Estimator'!$E$11:$Z$225,'Pre-Assessment Estimator'!$G$2,FALSE)&gt;AB225,AB225,VLOOKUP(E225,'Pre-Assessment Estimator'!$E$11:$Z$225,'Pre-Assessment Estimator'!$G$2,FALSE))</f>
        <v>0</v>
      </c>
      <c r="AJ225" s="172">
        <f>IF(VLOOKUP(E225,'Pre-Assessment Estimator'!$E$11:$Z$225,'Pre-Assessment Estimator'!$N$2,FALSE)&gt;AB225,AB225,VLOOKUP(E225,'Pre-Assessment Estimator'!$E$11:$Z$225,'Pre-Assessment Estimator'!$N$2,FALSE))</f>
        <v>0</v>
      </c>
      <c r="AK225" s="172">
        <f>IF(VLOOKUP(E225,'Pre-Assessment Estimator'!$E$11:$Z$225,'Pre-Assessment Estimator'!$U$2,FALSE)&gt;AB225,AB225,VLOOKUP(E225,'Pre-Assessment Estimator'!$E$11:$Z$225,'Pre-Assessment Estimator'!$U$2,FALSE))</f>
        <v>0</v>
      </c>
      <c r="AM225" s="292"/>
      <c r="AN225" s="293"/>
      <c r="AO225" s="293"/>
      <c r="AP225" s="293"/>
      <c r="AQ225" s="722"/>
      <c r="AR225" s="139"/>
      <c r="AS225" s="292"/>
      <c r="AT225" s="293"/>
      <c r="AU225" s="293"/>
      <c r="AV225" s="293"/>
      <c r="AW225" s="294"/>
      <c r="AY225" s="188"/>
      <c r="AZ225" s="189"/>
      <c r="BA225" s="189"/>
      <c r="BB225" s="189"/>
      <c r="BC225" s="717">
        <f>IF($E$6=$H$9,AW225,AQ225)</f>
        <v>0</v>
      </c>
      <c r="BD225" s="182">
        <f t="shared" si="461"/>
        <v>9</v>
      </c>
      <c r="BE225" s="164" t="str">
        <f t="shared" si="573"/>
        <v>N/A</v>
      </c>
      <c r="BF225" s="185"/>
      <c r="BG225" s="182">
        <f t="shared" si="574"/>
        <v>9</v>
      </c>
      <c r="BH225" s="164" t="str">
        <f t="shared" si="575"/>
        <v>N/A</v>
      </c>
      <c r="BI225" s="185"/>
      <c r="BJ225" s="182">
        <f t="shared" si="444"/>
        <v>9</v>
      </c>
      <c r="BK225" s="164" t="str">
        <f t="shared" si="576"/>
        <v>N/A</v>
      </c>
      <c r="BL225" s="185"/>
      <c r="BO225" s="167"/>
      <c r="BP225" s="167"/>
      <c r="BQ225" s="167" t="str">
        <f t="shared" si="551"/>
        <v/>
      </c>
      <c r="BR225" s="167">
        <f t="shared" si="579"/>
        <v>9</v>
      </c>
      <c r="BS225" s="167">
        <f t="shared" si="580"/>
        <v>9</v>
      </c>
      <c r="BT225" s="167">
        <f t="shared" si="581"/>
        <v>9</v>
      </c>
      <c r="BW225" s="167" t="str">
        <f t="shared" si="577"/>
        <v>Inn 09</v>
      </c>
      <c r="BX225" s="167" t="str">
        <f>IFERROR(VLOOKUP($E225,'Pre-Assessment Estimator'!$E$11:$AB$225,'Pre-Assessment Estimator'!AB$2,FALSE),"")</f>
        <v>N/A</v>
      </c>
      <c r="BY225" s="167">
        <f>IFERROR(VLOOKUP($E225,'Pre-Assessment Estimator'!$E$11:$AI$225,'Pre-Assessment Estimator'!AI$2,FALSE),"")</f>
        <v>0</v>
      </c>
      <c r="BZ225" s="167">
        <f t="shared" si="564"/>
        <v>1</v>
      </c>
      <c r="CA225" s="167">
        <f t="shared" si="565"/>
        <v>0</v>
      </c>
      <c r="CB225" s="167"/>
      <c r="CC225" s="96" t="str">
        <f t="shared" si="566"/>
        <v/>
      </c>
    </row>
    <row r="226" spans="1:81" x14ac:dyDescent="0.25">
      <c r="A226" s="96">
        <v>218</v>
      </c>
      <c r="B226" s="130" t="str">
        <f t="shared" si="578"/>
        <v>Inn 10</v>
      </c>
      <c r="C226" s="96" t="s">
        <v>178</v>
      </c>
      <c r="D226" s="222" t="s">
        <v>475</v>
      </c>
      <c r="E226" s="189" t="str">
        <f t="shared" si="567"/>
        <v xml:space="preserve">Inn 10 - Wst 01: Especially low amount of construction waste </v>
      </c>
      <c r="F226" s="775">
        <v>1</v>
      </c>
      <c r="G226" s="775">
        <v>1</v>
      </c>
      <c r="H226" s="775">
        <v>1</v>
      </c>
      <c r="I226" s="775">
        <v>1</v>
      </c>
      <c r="J226" s="775">
        <v>1</v>
      </c>
      <c r="K226" s="775">
        <v>1</v>
      </c>
      <c r="L226" s="775">
        <v>1</v>
      </c>
      <c r="M226" s="775">
        <v>1</v>
      </c>
      <c r="N226" s="775">
        <v>1</v>
      </c>
      <c r="O226" s="775">
        <v>1</v>
      </c>
      <c r="P226" s="775">
        <v>1</v>
      </c>
      <c r="Q226" s="1130">
        <v>1</v>
      </c>
      <c r="R226" s="1130">
        <v>1</v>
      </c>
      <c r="T226" s="221">
        <f t="shared" si="568"/>
        <v>1</v>
      </c>
      <c r="U226" s="192"/>
      <c r="V226" s="193"/>
      <c r="W226" s="193"/>
      <c r="X226" s="168">
        <f>'Manuell filtrering og justering'!E103</f>
        <v>0</v>
      </c>
      <c r="Y226" s="169"/>
      <c r="Z226" s="1160">
        <f>VLOOKUP(B226,'Manuell filtrering og justering'!$A$7:$H$253,'Manuell filtrering og justering'!$H$1,FALSE)</f>
        <v>1</v>
      </c>
      <c r="AA226" s="169">
        <f t="shared" si="569"/>
        <v>0</v>
      </c>
      <c r="AB226" s="170">
        <f>IF($AC$5='Manuell filtrering og justering'!$J$2,Z226,(T226-AA226))</f>
        <v>1</v>
      </c>
      <c r="AD226" s="171">
        <f>(Inn_Weight/Inn_Credits)*Inn10_credits</f>
        <v>0.01</v>
      </c>
      <c r="AE226" s="171">
        <f t="shared" si="570"/>
        <v>0</v>
      </c>
      <c r="AF226" s="171">
        <f t="shared" si="571"/>
        <v>0</v>
      </c>
      <c r="AG226" s="171">
        <f t="shared" si="572"/>
        <v>0</v>
      </c>
      <c r="AI226" s="214">
        <f>IF(VLOOKUP(E226,'Pre-Assessment Estimator'!$E$11:$Z$225,'Pre-Assessment Estimator'!$G$2,FALSE)&gt;AB226,AB226,VLOOKUP(E226,'Pre-Assessment Estimator'!$E$11:$Z$225,'Pre-Assessment Estimator'!$G$2,FALSE))</f>
        <v>0</v>
      </c>
      <c r="AJ226" s="172">
        <f>IF(VLOOKUP(E226,'Pre-Assessment Estimator'!$E$11:$Z$225,'Pre-Assessment Estimator'!$N$2,FALSE)&gt;AB226,AB226,VLOOKUP(E226,'Pre-Assessment Estimator'!$E$11:$Z$225,'Pre-Assessment Estimator'!$N$2,FALSE))</f>
        <v>0</v>
      </c>
      <c r="AK226" s="172">
        <f>IF(VLOOKUP(E226,'Pre-Assessment Estimator'!$E$11:$Z$225,'Pre-Assessment Estimator'!$U$2,FALSE)&gt;AB226,AB226,VLOOKUP(E226,'Pre-Assessment Estimator'!$E$11:$Z$225,'Pre-Assessment Estimator'!$U$2,FALSE))</f>
        <v>0</v>
      </c>
      <c r="AM226" s="292"/>
      <c r="AN226" s="293"/>
      <c r="AO226" s="293"/>
      <c r="AP226" s="293"/>
      <c r="AQ226" s="722"/>
      <c r="AR226" s="139"/>
      <c r="AS226" s="292"/>
      <c r="AT226" s="293"/>
      <c r="AU226" s="293"/>
      <c r="AV226" s="293"/>
      <c r="AW226" s="294"/>
      <c r="AY226" s="188"/>
      <c r="AZ226" s="189"/>
      <c r="BA226" s="189"/>
      <c r="BB226" s="189"/>
      <c r="BC226" s="717">
        <f t="shared" ref="BC226:BC229" si="582">IF($E$6=$H$9,AW226,AQ226)</f>
        <v>0</v>
      </c>
      <c r="BD226" s="182">
        <f t="shared" ref="BD226:BD229" si="583">IF(BC226=0,9,IF(AI226&gt;=BC226,5,IF(AI226&gt;=BB226,4,IF(AI226&gt;=BA226,3,IF(AI226&gt;=AZ226,2,IF(AI226&lt;AY226,0,1))))))</f>
        <v>9</v>
      </c>
      <c r="BE226" s="164" t="str">
        <f t="shared" si="573"/>
        <v>N/A</v>
      </c>
      <c r="BF226" s="185"/>
      <c r="BG226" s="182">
        <f t="shared" ref="BG226:BG229" si="584">IF(BC226=0,9,IF(AJ226&gt;=BC226,5,IF(AJ226&gt;=BB226,4,IF(AJ226&gt;=BA226,3,IF(AJ226&gt;=AZ226,2,IF(AJ226&lt;AY226,0,1))))))</f>
        <v>9</v>
      </c>
      <c r="BH226" s="164" t="str">
        <f t="shared" si="575"/>
        <v>N/A</v>
      </c>
      <c r="BI226" s="185"/>
      <c r="BJ226" s="182">
        <f t="shared" ref="BJ226:BJ229" si="585">IF(BC226=0,9,IF(AK226&gt;=BC226,5,IF(AK226&gt;=BB226,4,IF(AK226&gt;=BA226,3,IF(AK226&gt;=AZ226,2,IF(AK226&lt;AY226,0,1))))))</f>
        <v>9</v>
      </c>
      <c r="BK226" s="164" t="str">
        <f t="shared" si="576"/>
        <v>N/A</v>
      </c>
      <c r="BL226" s="185"/>
      <c r="BO226" s="167"/>
      <c r="BP226" s="167"/>
      <c r="BQ226" s="167" t="str">
        <f t="shared" si="551"/>
        <v/>
      </c>
      <c r="BR226" s="167">
        <f t="shared" si="579"/>
        <v>9</v>
      </c>
      <c r="BS226" s="167">
        <f t="shared" si="580"/>
        <v>9</v>
      </c>
      <c r="BT226" s="167">
        <f t="shared" si="581"/>
        <v>9</v>
      </c>
      <c r="BW226" s="314"/>
      <c r="BX226" s="314"/>
      <c r="BY226" s="314"/>
      <c r="BZ226" s="314"/>
      <c r="CA226" s="314"/>
      <c r="CB226" s="314"/>
    </row>
    <row r="227" spans="1:81" x14ac:dyDescent="0.25">
      <c r="A227" s="96">
        <v>219</v>
      </c>
      <c r="B227" s="130" t="str">
        <f t="shared" si="578"/>
        <v>Inn 11</v>
      </c>
      <c r="C227" s="96" t="s">
        <v>182</v>
      </c>
      <c r="D227" s="222" t="s">
        <v>476</v>
      </c>
      <c r="E227" s="189" t="str">
        <f t="shared" si="567"/>
        <v>Inn 11 - LE 02: Wider sustainability for the site</v>
      </c>
      <c r="F227" s="775">
        <v>1</v>
      </c>
      <c r="G227" s="775">
        <v>1</v>
      </c>
      <c r="H227" s="775">
        <v>1</v>
      </c>
      <c r="I227" s="775">
        <v>1</v>
      </c>
      <c r="J227" s="775">
        <v>1</v>
      </c>
      <c r="K227" s="775">
        <v>1</v>
      </c>
      <c r="L227" s="775">
        <v>1</v>
      </c>
      <c r="M227" s="775">
        <v>1</v>
      </c>
      <c r="N227" s="775">
        <v>1</v>
      </c>
      <c r="O227" s="775">
        <v>1</v>
      </c>
      <c r="P227" s="775">
        <v>1</v>
      </c>
      <c r="Q227" s="1130">
        <v>1</v>
      </c>
      <c r="R227" s="1130">
        <v>1</v>
      </c>
      <c r="T227" s="221">
        <f t="shared" si="568"/>
        <v>1</v>
      </c>
      <c r="U227" s="192"/>
      <c r="V227" s="193"/>
      <c r="W227" s="193"/>
      <c r="X227" s="168">
        <f>'Manuell filtrering og justering'!E104</f>
        <v>0</v>
      </c>
      <c r="Y227" s="169"/>
      <c r="Z227" s="1160">
        <f>VLOOKUP(B227,'Manuell filtrering og justering'!$A$7:$H$253,'Manuell filtrering og justering'!$H$1,FALSE)</f>
        <v>1</v>
      </c>
      <c r="AA227" s="169">
        <f t="shared" si="569"/>
        <v>0</v>
      </c>
      <c r="AB227" s="170">
        <f>IF($AC$5='Manuell filtrering og justering'!$J$2,Z227,(T227-AA227))</f>
        <v>1</v>
      </c>
      <c r="AD227" s="171">
        <f>(Inn_Weight/Inn_Credits)*Inn11_credits</f>
        <v>0.01</v>
      </c>
      <c r="AE227" s="171">
        <f t="shared" si="570"/>
        <v>0</v>
      </c>
      <c r="AF227" s="171">
        <f t="shared" si="571"/>
        <v>0</v>
      </c>
      <c r="AG227" s="171">
        <f t="shared" si="572"/>
        <v>0</v>
      </c>
      <c r="AI227" s="214">
        <f>IF(VLOOKUP(E227,'Pre-Assessment Estimator'!$E$11:$Z$225,'Pre-Assessment Estimator'!$G$2,FALSE)&gt;AB227,AB227,VLOOKUP(E227,'Pre-Assessment Estimator'!$E$11:$Z$225,'Pre-Assessment Estimator'!$G$2,FALSE))</f>
        <v>0</v>
      </c>
      <c r="AJ227" s="172">
        <f>IF(VLOOKUP(E227,'Pre-Assessment Estimator'!$E$11:$Z$225,'Pre-Assessment Estimator'!$N$2,FALSE)&gt;AB227,AB227,VLOOKUP(E227,'Pre-Assessment Estimator'!$E$11:$Z$225,'Pre-Assessment Estimator'!$N$2,FALSE))</f>
        <v>0</v>
      </c>
      <c r="AK227" s="172">
        <f>IF(VLOOKUP(E227,'Pre-Assessment Estimator'!$E$11:$Z$225,'Pre-Assessment Estimator'!$U$2,FALSE)&gt;AB227,AB227,VLOOKUP(E227,'Pre-Assessment Estimator'!$E$11:$Z$225,'Pre-Assessment Estimator'!$U$2,FALSE))</f>
        <v>0</v>
      </c>
      <c r="AM227" s="292"/>
      <c r="AN227" s="293"/>
      <c r="AO227" s="293"/>
      <c r="AP227" s="293"/>
      <c r="AQ227" s="722"/>
      <c r="AR227" s="139"/>
      <c r="AS227" s="292"/>
      <c r="AT227" s="293"/>
      <c r="AU227" s="293"/>
      <c r="AV227" s="293"/>
      <c r="AW227" s="294"/>
      <c r="AY227" s="188"/>
      <c r="AZ227" s="189"/>
      <c r="BA227" s="189"/>
      <c r="BB227" s="189"/>
      <c r="BC227" s="717">
        <f t="shared" si="582"/>
        <v>0</v>
      </c>
      <c r="BD227" s="182">
        <f t="shared" si="583"/>
        <v>9</v>
      </c>
      <c r="BE227" s="164" t="str">
        <f t="shared" si="573"/>
        <v>N/A</v>
      </c>
      <c r="BF227" s="185"/>
      <c r="BG227" s="182">
        <f t="shared" si="584"/>
        <v>9</v>
      </c>
      <c r="BH227" s="164" t="str">
        <f t="shared" si="575"/>
        <v>N/A</v>
      </c>
      <c r="BI227" s="185"/>
      <c r="BJ227" s="182">
        <f t="shared" si="585"/>
        <v>9</v>
      </c>
      <c r="BK227" s="164" t="str">
        <f t="shared" si="576"/>
        <v>N/A</v>
      </c>
      <c r="BL227" s="185"/>
      <c r="BO227" s="167"/>
      <c r="BP227" s="167"/>
      <c r="BQ227" s="167" t="str">
        <f t="shared" si="551"/>
        <v/>
      </c>
      <c r="BR227" s="167">
        <f t="shared" si="579"/>
        <v>9</v>
      </c>
      <c r="BS227" s="167">
        <f t="shared" si="580"/>
        <v>9</v>
      </c>
      <c r="BT227" s="167">
        <f t="shared" si="581"/>
        <v>9</v>
      </c>
      <c r="BW227" s="314"/>
      <c r="BX227" s="314"/>
      <c r="BY227" s="314"/>
      <c r="BZ227" s="314"/>
      <c r="CA227" s="314"/>
      <c r="CB227" s="314"/>
    </row>
    <row r="228" spans="1:81" x14ac:dyDescent="0.25">
      <c r="A228" s="96">
        <v>220</v>
      </c>
      <c r="B228" s="130" t="str">
        <f t="shared" si="578"/>
        <v>Inn 12</v>
      </c>
      <c r="C228" s="96" t="s">
        <v>183</v>
      </c>
      <c r="D228" s="222" t="s">
        <v>477</v>
      </c>
      <c r="E228" s="189" t="str">
        <f t="shared" si="567"/>
        <v>Inn 12 - LE 04: Significant net gain of biodiversity</v>
      </c>
      <c r="F228" s="775">
        <v>1</v>
      </c>
      <c r="G228" s="775">
        <v>1</v>
      </c>
      <c r="H228" s="775">
        <v>1</v>
      </c>
      <c r="I228" s="775">
        <v>1</v>
      </c>
      <c r="J228" s="775">
        <v>1</v>
      </c>
      <c r="K228" s="775">
        <v>1</v>
      </c>
      <c r="L228" s="775">
        <v>1</v>
      </c>
      <c r="M228" s="775">
        <v>1</v>
      </c>
      <c r="N228" s="775">
        <v>1</v>
      </c>
      <c r="O228" s="775">
        <v>1</v>
      </c>
      <c r="P228" s="775">
        <v>1</v>
      </c>
      <c r="Q228" s="1130">
        <v>1</v>
      </c>
      <c r="R228" s="1130">
        <v>1</v>
      </c>
      <c r="T228" s="221">
        <f t="shared" si="568"/>
        <v>1</v>
      </c>
      <c r="U228" s="192"/>
      <c r="V228" s="193"/>
      <c r="W228" s="193"/>
      <c r="X228" s="168">
        <f>'Manuell filtrering og justering'!E105</f>
        <v>0</v>
      </c>
      <c r="Y228" s="169"/>
      <c r="Z228" s="1160">
        <f>VLOOKUP(B228,'Manuell filtrering og justering'!$A$7:$H$253,'Manuell filtrering og justering'!$H$1,FALSE)</f>
        <v>1</v>
      </c>
      <c r="AA228" s="169">
        <f t="shared" si="569"/>
        <v>0</v>
      </c>
      <c r="AB228" s="170">
        <f>IF($AC$5='Manuell filtrering og justering'!$J$2,Z228,(T228-AA228))</f>
        <v>1</v>
      </c>
      <c r="AD228" s="171">
        <f>(Inn_Weight/Inn_Credits)*Inn12_credits</f>
        <v>0.01</v>
      </c>
      <c r="AE228" s="171">
        <f t="shared" si="570"/>
        <v>0</v>
      </c>
      <c r="AF228" s="171">
        <f t="shared" si="571"/>
        <v>0</v>
      </c>
      <c r="AG228" s="171">
        <f t="shared" si="572"/>
        <v>0</v>
      </c>
      <c r="AI228" s="214">
        <f>IF(VLOOKUP(E228,'Pre-Assessment Estimator'!$E$11:$Z$225,'Pre-Assessment Estimator'!$G$2,FALSE)&gt;AB228,AB228,VLOOKUP(E228,'Pre-Assessment Estimator'!$E$11:$Z$225,'Pre-Assessment Estimator'!$G$2,FALSE))</f>
        <v>0</v>
      </c>
      <c r="AJ228" s="172">
        <f>IF(VLOOKUP(E228,'Pre-Assessment Estimator'!$E$11:$Z$225,'Pre-Assessment Estimator'!$N$2,FALSE)&gt;AB228,AB228,VLOOKUP(E228,'Pre-Assessment Estimator'!$E$11:$Z$225,'Pre-Assessment Estimator'!$N$2,FALSE))</f>
        <v>0</v>
      </c>
      <c r="AK228" s="172">
        <f>IF(VLOOKUP(E228,'Pre-Assessment Estimator'!$E$11:$Z$225,'Pre-Assessment Estimator'!$U$2,FALSE)&gt;AB228,AB228,VLOOKUP(E228,'Pre-Assessment Estimator'!$E$11:$Z$225,'Pre-Assessment Estimator'!$U$2,FALSE))</f>
        <v>0</v>
      </c>
      <c r="AM228" s="292"/>
      <c r="AN228" s="293"/>
      <c r="AO228" s="293"/>
      <c r="AP228" s="293"/>
      <c r="AQ228" s="722"/>
      <c r="AR228" s="139"/>
      <c r="AS228" s="292"/>
      <c r="AT228" s="293"/>
      <c r="AU228" s="293"/>
      <c r="AV228" s="293"/>
      <c r="AW228" s="294"/>
      <c r="AY228" s="188"/>
      <c r="AZ228" s="189"/>
      <c r="BA228" s="189"/>
      <c r="BB228" s="189"/>
      <c r="BC228" s="717">
        <f t="shared" si="582"/>
        <v>0</v>
      </c>
      <c r="BD228" s="182">
        <f t="shared" si="583"/>
        <v>9</v>
      </c>
      <c r="BE228" s="164" t="str">
        <f t="shared" si="573"/>
        <v>N/A</v>
      </c>
      <c r="BF228" s="185"/>
      <c r="BG228" s="182">
        <f t="shared" si="584"/>
        <v>9</v>
      </c>
      <c r="BH228" s="164" t="str">
        <f t="shared" si="575"/>
        <v>N/A</v>
      </c>
      <c r="BI228" s="185"/>
      <c r="BJ228" s="182">
        <f t="shared" si="585"/>
        <v>9</v>
      </c>
      <c r="BK228" s="164" t="str">
        <f t="shared" si="576"/>
        <v>N/A</v>
      </c>
      <c r="BL228" s="185"/>
      <c r="BO228" s="167"/>
      <c r="BP228" s="167"/>
      <c r="BQ228" s="167" t="str">
        <f t="shared" si="551"/>
        <v/>
      </c>
      <c r="BR228" s="167">
        <f t="shared" si="579"/>
        <v>9</v>
      </c>
      <c r="BS228" s="167">
        <f t="shared" si="580"/>
        <v>9</v>
      </c>
      <c r="BT228" s="167">
        <f t="shared" si="581"/>
        <v>9</v>
      </c>
      <c r="BW228" s="314"/>
      <c r="BX228" s="314"/>
      <c r="BY228" s="314"/>
      <c r="BZ228" s="314"/>
      <c r="CA228" s="314"/>
      <c r="CB228" s="314"/>
    </row>
    <row r="229" spans="1:81" ht="15.75" thickBot="1" x14ac:dyDescent="0.3">
      <c r="A229" s="96">
        <v>221</v>
      </c>
      <c r="B229" s="130" t="str">
        <f t="shared" si="578"/>
        <v>Inn 13</v>
      </c>
      <c r="C229" s="96" t="s">
        <v>185</v>
      </c>
      <c r="D229" s="222" t="s">
        <v>478</v>
      </c>
      <c r="E229" s="189" t="str">
        <f t="shared" si="567"/>
        <v>Inn 13 - LE 06: Responding to climate change</v>
      </c>
      <c r="F229" s="775">
        <v>1</v>
      </c>
      <c r="G229" s="775">
        <v>1</v>
      </c>
      <c r="H229" s="775">
        <v>1</v>
      </c>
      <c r="I229" s="775">
        <v>1</v>
      </c>
      <c r="J229" s="775">
        <v>1</v>
      </c>
      <c r="K229" s="775">
        <v>1</v>
      </c>
      <c r="L229" s="775">
        <v>1</v>
      </c>
      <c r="M229" s="775">
        <v>1</v>
      </c>
      <c r="N229" s="775">
        <v>1</v>
      </c>
      <c r="O229" s="775">
        <v>1</v>
      </c>
      <c r="P229" s="775">
        <v>1</v>
      </c>
      <c r="Q229" s="1130">
        <v>1</v>
      </c>
      <c r="R229" s="1130">
        <v>1</v>
      </c>
      <c r="T229" s="221">
        <f t="shared" si="568"/>
        <v>1</v>
      </c>
      <c r="U229" s="192"/>
      <c r="V229" s="193"/>
      <c r="W229" s="193"/>
      <c r="X229" s="168">
        <f>'Manuell filtrering og justering'!E106</f>
        <v>0</v>
      </c>
      <c r="Y229" s="169"/>
      <c r="Z229" s="1160">
        <f>VLOOKUP(B229,'Manuell filtrering og justering'!$A$7:$H$253,'Manuell filtrering og justering'!$H$1,FALSE)</f>
        <v>1</v>
      </c>
      <c r="AA229" s="169">
        <f t="shared" si="569"/>
        <v>0</v>
      </c>
      <c r="AB229" s="170">
        <f>IF($AC$5='Manuell filtrering og justering'!$J$2,Z229,(T229-AA229))</f>
        <v>1</v>
      </c>
      <c r="AD229" s="171">
        <f>(Inn_Weight/Inn_Credits)*Inn13_credits</f>
        <v>0.01</v>
      </c>
      <c r="AE229" s="171">
        <f t="shared" si="570"/>
        <v>0</v>
      </c>
      <c r="AF229" s="171">
        <f t="shared" si="571"/>
        <v>0</v>
      </c>
      <c r="AG229" s="171">
        <f t="shared" si="572"/>
        <v>0</v>
      </c>
      <c r="AI229" s="214">
        <f>IF(VLOOKUP(E229,'Pre-Assessment Estimator'!$E$11:$Z$225,'Pre-Assessment Estimator'!$G$2,FALSE)&gt;AB229,AB229,VLOOKUP(E229,'Pre-Assessment Estimator'!$E$11:$Z$225,'Pre-Assessment Estimator'!$G$2,FALSE))</f>
        <v>0</v>
      </c>
      <c r="AJ229" s="172">
        <f>IF(VLOOKUP(E229,'Pre-Assessment Estimator'!$E$11:$Z$225,'Pre-Assessment Estimator'!$N$2,FALSE)&gt;AB229,AB229,VLOOKUP(E229,'Pre-Assessment Estimator'!$E$11:$Z$225,'Pre-Assessment Estimator'!$N$2,FALSE))</f>
        <v>0</v>
      </c>
      <c r="AK229" s="172">
        <f>IF(VLOOKUP(E229,'Pre-Assessment Estimator'!$E$11:$Z$225,'Pre-Assessment Estimator'!$U$2,FALSE)&gt;AB229,AB229,VLOOKUP(E229,'Pre-Assessment Estimator'!$E$11:$Z$225,'Pre-Assessment Estimator'!$U$2,FALSE))</f>
        <v>0</v>
      </c>
      <c r="AM229" s="295"/>
      <c r="AN229" s="296"/>
      <c r="AO229" s="296"/>
      <c r="AP229" s="296"/>
      <c r="AQ229" s="723"/>
      <c r="AR229" s="139"/>
      <c r="AS229" s="295"/>
      <c r="AT229" s="296"/>
      <c r="AU229" s="296"/>
      <c r="AV229" s="296"/>
      <c r="AW229" s="297"/>
      <c r="AY229" s="194"/>
      <c r="AZ229" s="196"/>
      <c r="BA229" s="196"/>
      <c r="BB229" s="196"/>
      <c r="BC229" s="718">
        <f t="shared" si="582"/>
        <v>0</v>
      </c>
      <c r="BD229" s="198">
        <f t="shared" si="583"/>
        <v>9</v>
      </c>
      <c r="BE229" s="164" t="str">
        <f t="shared" si="573"/>
        <v>N/A</v>
      </c>
      <c r="BF229" s="200"/>
      <c r="BG229" s="198">
        <f t="shared" si="584"/>
        <v>9</v>
      </c>
      <c r="BH229" s="164" t="str">
        <f t="shared" si="575"/>
        <v>N/A</v>
      </c>
      <c r="BI229" s="200"/>
      <c r="BJ229" s="198">
        <f t="shared" si="585"/>
        <v>9</v>
      </c>
      <c r="BK229" s="164" t="str">
        <f t="shared" si="576"/>
        <v>N/A</v>
      </c>
      <c r="BL229" s="200"/>
      <c r="BO229" s="167"/>
      <c r="BP229" s="167"/>
      <c r="BQ229" s="167" t="str">
        <f t="shared" si="551"/>
        <v/>
      </c>
      <c r="BR229" s="167">
        <f t="shared" si="579"/>
        <v>9</v>
      </c>
      <c r="BS229" s="167">
        <f t="shared" si="580"/>
        <v>9</v>
      </c>
      <c r="BT229" s="167">
        <f t="shared" si="581"/>
        <v>9</v>
      </c>
      <c r="BW229" s="314"/>
      <c r="BX229" s="314"/>
      <c r="BY229" s="314"/>
      <c r="BZ229" s="314"/>
      <c r="CA229" s="314"/>
      <c r="CB229" s="314"/>
    </row>
    <row r="230" spans="1:81" ht="15.75" thickBot="1" x14ac:dyDescent="0.3">
      <c r="A230" s="96">
        <v>222</v>
      </c>
      <c r="B230" s="130" t="str">
        <f t="shared" si="578"/>
        <v>Inn 14</v>
      </c>
      <c r="C230" s="96" t="s">
        <v>483</v>
      </c>
      <c r="D230" s="719" t="s">
        <v>699</v>
      </c>
      <c r="E230" s="196" t="str">
        <f t="shared" si="567"/>
        <v>Inn 14 - LE 08: Wider approach to surface water management</v>
      </c>
      <c r="F230" s="944">
        <v>1</v>
      </c>
      <c r="G230" s="944">
        <v>1</v>
      </c>
      <c r="H230" s="944">
        <v>1</v>
      </c>
      <c r="I230" s="944">
        <v>1</v>
      </c>
      <c r="J230" s="944">
        <v>1</v>
      </c>
      <c r="K230" s="944">
        <v>1</v>
      </c>
      <c r="L230" s="944">
        <v>1</v>
      </c>
      <c r="M230" s="944">
        <v>1</v>
      </c>
      <c r="N230" s="944">
        <v>1</v>
      </c>
      <c r="O230" s="944">
        <v>1</v>
      </c>
      <c r="P230" s="944">
        <v>1</v>
      </c>
      <c r="Q230" s="1131">
        <v>1</v>
      </c>
      <c r="R230" s="1131">
        <v>1</v>
      </c>
      <c r="T230" s="854">
        <f t="shared" si="568"/>
        <v>1</v>
      </c>
      <c r="U230" s="192"/>
      <c r="V230" s="193"/>
      <c r="W230" s="193"/>
      <c r="X230" s="1166"/>
      <c r="Y230" s="1182"/>
      <c r="Z230" s="1160">
        <f>VLOOKUP(B230,'Manuell filtrering og justering'!$A$7:$H$253,'Manuell filtrering og justering'!$H$1,FALSE)</f>
        <v>1</v>
      </c>
      <c r="AA230" s="169">
        <f t="shared" si="569"/>
        <v>0</v>
      </c>
      <c r="AB230" s="170">
        <f>IF($AC$5='Manuell filtrering og justering'!$J$2,Z230,(T230-AA230))</f>
        <v>1</v>
      </c>
      <c r="AD230" s="171">
        <f>(Inn_Weight/Inn_Credits)*AB230</f>
        <v>0.01</v>
      </c>
      <c r="AE230" s="171">
        <f t="shared" si="570"/>
        <v>0</v>
      </c>
      <c r="AF230" s="171">
        <f t="shared" si="571"/>
        <v>0</v>
      </c>
      <c r="AG230" s="171">
        <f t="shared" si="572"/>
        <v>0</v>
      </c>
      <c r="AI230" s="214">
        <f>IF(VLOOKUP(E230,'Pre-Assessment Estimator'!$E$11:$Z$225,'Pre-Assessment Estimator'!$G$2,FALSE)&gt;AB230,AB230,VLOOKUP(E230,'Pre-Assessment Estimator'!$E$11:$Z$225,'Pre-Assessment Estimator'!$G$2,FALSE))</f>
        <v>0</v>
      </c>
      <c r="AJ230" s="172">
        <f>IF(VLOOKUP(E230,'Pre-Assessment Estimator'!$E$11:$Z$225,'Pre-Assessment Estimator'!$N$2,FALSE)&gt;AB230,AB230,VLOOKUP(E230,'Pre-Assessment Estimator'!$E$11:$Z$225,'Pre-Assessment Estimator'!$N$2,FALSE))</f>
        <v>0</v>
      </c>
      <c r="AK230" s="172">
        <f>IF(VLOOKUP(E230,'Pre-Assessment Estimator'!$E$11:$Z$225,'Pre-Assessment Estimator'!$U$2,FALSE)&gt;AB230,AB230,VLOOKUP(E230,'Pre-Assessment Estimator'!$E$11:$Z$225,'Pre-Assessment Estimator'!$U$2,FALSE))</f>
        <v>0</v>
      </c>
      <c r="AM230" s="292"/>
      <c r="AN230" s="293"/>
      <c r="AO230" s="293"/>
      <c r="AP230" s="293"/>
      <c r="AQ230" s="722"/>
      <c r="AR230" s="139"/>
      <c r="AS230" s="292"/>
      <c r="AT230" s="293"/>
      <c r="AU230" s="293"/>
      <c r="AV230" s="293"/>
      <c r="AW230" s="294"/>
      <c r="AY230" s="188"/>
      <c r="AZ230" s="189"/>
      <c r="BA230" s="189"/>
      <c r="BB230" s="189"/>
      <c r="BC230" s="717">
        <f t="shared" ref="BC230" si="586">IF($E$6=$H$9,AW230,AQ230)</f>
        <v>0</v>
      </c>
      <c r="BD230" s="182">
        <f t="shared" ref="BD230" si="587">IF(BC230=0,9,IF(AI230&gt;=BC230,5,IF(AI230&gt;=BB230,4,IF(AI230&gt;=BA230,3,IF(AI230&gt;=AZ230,2,IF(AI230&lt;AY230,0,1))))))</f>
        <v>9</v>
      </c>
      <c r="BE230" s="164" t="str">
        <f t="shared" si="573"/>
        <v>N/A</v>
      </c>
      <c r="BF230" s="185"/>
      <c r="BG230" s="182">
        <f t="shared" ref="BG230" si="588">IF(BC230=0,9,IF(AJ230&gt;=BC230,5,IF(AJ230&gt;=BB230,4,IF(AJ230&gt;=BA230,3,IF(AJ230&gt;=AZ230,2,IF(AJ230&lt;AY230,0,1))))))</f>
        <v>9</v>
      </c>
      <c r="BH230" s="164" t="str">
        <f t="shared" si="575"/>
        <v>N/A</v>
      </c>
      <c r="BI230" s="185"/>
      <c r="BJ230" s="182">
        <f t="shared" ref="BJ230" si="589">IF(BC230=0,9,IF(AK230&gt;=BC230,5,IF(AK230&gt;=BB230,4,IF(AK230&gt;=BA230,3,IF(AK230&gt;=AZ230,2,IF(AK230&lt;AY230,0,1))))))</f>
        <v>9</v>
      </c>
      <c r="BK230" s="164" t="str">
        <f t="shared" si="576"/>
        <v>N/A</v>
      </c>
      <c r="BL230" s="185"/>
      <c r="BO230" s="167"/>
      <c r="BP230" s="167"/>
      <c r="BQ230" s="167" t="str">
        <f t="shared" si="551"/>
        <v/>
      </c>
      <c r="BR230" s="167">
        <f t="shared" si="579"/>
        <v>9</v>
      </c>
      <c r="BS230" s="167">
        <f t="shared" si="580"/>
        <v>9</v>
      </c>
      <c r="BT230" s="167">
        <f t="shared" si="581"/>
        <v>9</v>
      </c>
      <c r="BW230" s="314"/>
      <c r="BX230" s="314"/>
      <c r="BY230" s="314"/>
      <c r="BZ230" s="314"/>
      <c r="CA230" s="314"/>
      <c r="CB230" s="314"/>
    </row>
    <row r="231" spans="1:81" ht="15.75" thickBot="1" x14ac:dyDescent="0.3">
      <c r="A231" s="96">
        <v>223</v>
      </c>
      <c r="B231" s="130" t="s">
        <v>892</v>
      </c>
      <c r="D231" s="711" t="s">
        <v>215</v>
      </c>
      <c r="E231" s="710"/>
      <c r="F231" s="774">
        <f>IF(SUM(F217:F230)&gt;10,10,SUM(F217:F230))</f>
        <v>10</v>
      </c>
      <c r="G231" s="774">
        <f t="shared" ref="G231:R231" si="590">IF(SUM(G217:G230)&gt;10,10,SUM(G217:G230))</f>
        <v>10</v>
      </c>
      <c r="H231" s="774">
        <f t="shared" si="590"/>
        <v>10</v>
      </c>
      <c r="I231" s="774">
        <f t="shared" si="590"/>
        <v>10</v>
      </c>
      <c r="J231" s="774">
        <f t="shared" si="590"/>
        <v>10</v>
      </c>
      <c r="K231" s="774">
        <f t="shared" si="590"/>
        <v>10</v>
      </c>
      <c r="L231" s="774">
        <f t="shared" si="590"/>
        <v>10</v>
      </c>
      <c r="M231" s="774">
        <f t="shared" si="590"/>
        <v>10</v>
      </c>
      <c r="N231" s="774">
        <f t="shared" si="590"/>
        <v>10</v>
      </c>
      <c r="O231" s="774">
        <f t="shared" si="590"/>
        <v>10</v>
      </c>
      <c r="P231" s="774">
        <f t="shared" si="590"/>
        <v>10</v>
      </c>
      <c r="Q231" s="774">
        <f t="shared" ref="Q231" si="591">IF(SUM(Q217:Q230)&gt;10,10,SUM(Q217:Q230))</f>
        <v>10</v>
      </c>
      <c r="R231" s="774">
        <f t="shared" si="590"/>
        <v>10</v>
      </c>
      <c r="T231" s="226">
        <f t="shared" si="568"/>
        <v>10</v>
      </c>
      <c r="U231" s="204"/>
      <c r="V231" s="205"/>
      <c r="W231" s="205"/>
      <c r="X231" s="206"/>
      <c r="Y231" s="207"/>
      <c r="Z231" s="1163"/>
      <c r="AA231" s="207">
        <f>SUM(AA217:AA230)</f>
        <v>0</v>
      </c>
      <c r="AB231" s="227">
        <f>IF(SUM(AB217:AB230)&gt;10,10,SUM(AB217:AB230))</f>
        <v>10</v>
      </c>
      <c r="AD231" s="234">
        <f>IF(SUM(AD217:AD230)&gt;0.1,0.1,(SUM(AD217:AD230)))</f>
        <v>0.1</v>
      </c>
      <c r="AE231" s="234">
        <f>IF(SUM(AE217:AE230)&gt;0.1,0.1,(SUM(AE217:AE230)))</f>
        <v>0</v>
      </c>
      <c r="AF231" s="234">
        <f>IF(SUM(AF217:AF230)&gt;0.1,0.1,(SUM(AF217:AF230)))</f>
        <v>0</v>
      </c>
      <c r="AG231" s="234">
        <f>IF(SUM(AG217:AG230)&gt;0.1,0.1,(SUM(AG217:AG230)))</f>
        <v>0</v>
      </c>
      <c r="AI231" s="44">
        <f>IF(SUM(AI217:AI230)&gt;10,10,SUM(AI217:AI230))</f>
        <v>0</v>
      </c>
      <c r="AJ231" s="44">
        <f>IF(SUM(AJ217:AJ230)&gt;10,10,SUM(AJ217:AJ230))</f>
        <v>0</v>
      </c>
      <c r="AK231" s="44">
        <f>IF(SUM(AK217:AK230)&gt;10,10,SUM(AK217:AK230))</f>
        <v>0</v>
      </c>
      <c r="AY231" s="97"/>
      <c r="AZ231" s="97"/>
      <c r="BA231" s="97"/>
      <c r="BB231" s="97"/>
      <c r="BC231" s="235"/>
      <c r="BD231" s="236"/>
      <c r="BW231" s="202"/>
      <c r="BX231" s="202" t="str">
        <f>IFERROR(VLOOKUP($E231,'Pre-Assessment Estimator'!$E$11:$AB$225,'Pre-Assessment Estimator'!AB$2,FALSE),"")</f>
        <v/>
      </c>
      <c r="BY231" s="202" t="str">
        <f>IFERROR(VLOOKUP($E231,'Pre-Assessment Estimator'!$E$11:$AI$225,'Pre-Assessment Estimator'!AI$2,FALSE),"")</f>
        <v/>
      </c>
      <c r="BZ231" s="202" t="str">
        <f t="shared" ref="BZ231:CA233" si="592">IFERROR(VLOOKUP($BX231,$E$292:$H$325,F$290,FALSE),"")</f>
        <v/>
      </c>
      <c r="CA231" s="202" t="str">
        <f t="shared" si="592"/>
        <v/>
      </c>
      <c r="CB231" s="202"/>
      <c r="CC231" s="96" t="str">
        <f>IFERROR(VLOOKUP($BX231,$E$292:$H$325,I$290,FALSE),"")</f>
        <v/>
      </c>
    </row>
    <row r="232" spans="1:81" ht="15.75" thickBot="1" x14ac:dyDescent="0.3">
      <c r="A232" s="96">
        <v>224</v>
      </c>
      <c r="AY232" s="97"/>
      <c r="AZ232" s="97"/>
      <c r="BA232" s="97"/>
      <c r="BB232" s="97"/>
      <c r="BC232" s="235"/>
      <c r="BD232" s="236"/>
      <c r="BX232" s="96" t="str">
        <f>IFERROR(VLOOKUP($E232,'Pre-Assessment Estimator'!$E$11:$AB$225,'Pre-Assessment Estimator'!AB$2,FALSE),"")</f>
        <v/>
      </c>
      <c r="BY232" s="96" t="str">
        <f>IFERROR(VLOOKUP($E232,'Pre-Assessment Estimator'!$E$11:$AI$225,'Pre-Assessment Estimator'!AI$2,FALSE),"")</f>
        <v/>
      </c>
      <c r="BZ232" s="96" t="str">
        <f t="shared" si="592"/>
        <v/>
      </c>
      <c r="CA232" s="96" t="str">
        <f t="shared" si="592"/>
        <v/>
      </c>
      <c r="CC232" s="96" t="str">
        <f>IFERROR(VLOOKUP($BX232,$E$292:$H$325,I$290,FALSE),"")</f>
        <v/>
      </c>
    </row>
    <row r="233" spans="1:81" ht="60.75" thickBot="1" x14ac:dyDescent="0.3">
      <c r="A233" s="96">
        <v>225</v>
      </c>
      <c r="D233" s="151"/>
      <c r="E233" s="152" t="s">
        <v>234</v>
      </c>
      <c r="F233" s="1243" t="str">
        <f>$F$9</f>
        <v>Office</v>
      </c>
      <c r="G233" s="1243" t="str">
        <f>$G$9</f>
        <v>Retail</v>
      </c>
      <c r="H233" s="1247" t="str">
        <f>$H$9</f>
        <v>Residential</v>
      </c>
      <c r="I233" s="1243" t="str">
        <f>$I$9</f>
        <v>Industrial</v>
      </c>
      <c r="J233" s="1245" t="str">
        <f>$J$9</f>
        <v>Healthcare</v>
      </c>
      <c r="K233" s="1245" t="str">
        <f>$K$9</f>
        <v>Prison</v>
      </c>
      <c r="L233" s="1245" t="str">
        <f>$L$9</f>
        <v>Law Court</v>
      </c>
      <c r="M233" s="1249" t="str">
        <f>$M$9</f>
        <v>Residential institution (long term stay)</v>
      </c>
      <c r="N233" s="918" t="str">
        <f>$N$9</f>
        <v>Residential institution (short term stay)</v>
      </c>
      <c r="O233" s="918" t="str">
        <f>$O$9</f>
        <v>Non-residential institution</v>
      </c>
      <c r="P233" s="918" t="str">
        <f>$P$9</f>
        <v>Assembly and leisure</v>
      </c>
      <c r="Q233" s="1245" t="str">
        <f>$Q$9</f>
        <v>Education</v>
      </c>
      <c r="R233" s="857" t="str">
        <f>$R$9</f>
        <v>Other</v>
      </c>
      <c r="T233" s="138" t="str">
        <f>$E$6</f>
        <v>Office</v>
      </c>
      <c r="U233" s="237"/>
      <c r="V233" s="238"/>
      <c r="W233" s="211"/>
      <c r="X233" s="211"/>
      <c r="Y233" s="1167" t="s">
        <v>413</v>
      </c>
      <c r="Z233" s="347" t="s">
        <v>336</v>
      </c>
      <c r="AA233" s="150" t="s">
        <v>215</v>
      </c>
      <c r="AB233" s="59" t="s">
        <v>15</v>
      </c>
      <c r="AI233" s="42"/>
      <c r="AJ233" s="60"/>
      <c r="AK233" s="60"/>
      <c r="AY233" s="97"/>
      <c r="AZ233" s="97"/>
      <c r="BA233" s="97"/>
      <c r="BB233" s="97"/>
      <c r="BC233" s="235"/>
      <c r="BD233" s="236"/>
      <c r="BO233" s="60"/>
      <c r="BP233" s="60"/>
      <c r="BQ233" s="60"/>
      <c r="BR233" s="60"/>
      <c r="BS233" s="60"/>
      <c r="BT233" s="60"/>
      <c r="BW233" s="146"/>
      <c r="BX233" s="146" t="str">
        <f>E233</f>
        <v>Spesialtilfeller</v>
      </c>
      <c r="BY233" s="146" t="str">
        <f>IFERROR(VLOOKUP($E233,'Pre-Assessment Estimator'!$E$11:$AI$225,'Pre-Assessment Estimator'!AI$2,FALSE),"")</f>
        <v/>
      </c>
      <c r="BZ233" s="146" t="str">
        <f t="shared" si="592"/>
        <v/>
      </c>
      <c r="CA233" s="146" t="str">
        <f t="shared" si="592"/>
        <v/>
      </c>
      <c r="CB233" s="146"/>
      <c r="CC233" s="96" t="str">
        <f>IFERROR(VLOOKUP($BX233,$E$292:$H$325,I$290,FALSE),"")</f>
        <v/>
      </c>
    </row>
    <row r="234" spans="1:81" ht="15.75" thickBot="1" x14ac:dyDescent="0.3">
      <c r="A234" s="96">
        <v>226</v>
      </c>
      <c r="B234" s="96" t="s">
        <v>729</v>
      </c>
      <c r="C234" s="96" t="s">
        <v>118</v>
      </c>
      <c r="D234" s="732" t="s">
        <v>729</v>
      </c>
      <c r="E234" s="973" t="s">
        <v>1049</v>
      </c>
      <c r="F234" s="776" t="s">
        <v>235</v>
      </c>
      <c r="G234" s="776" t="s">
        <v>235</v>
      </c>
      <c r="H234" s="776" t="s">
        <v>235</v>
      </c>
      <c r="I234" s="776" t="s">
        <v>235</v>
      </c>
      <c r="J234" s="776" t="s">
        <v>235</v>
      </c>
      <c r="K234" s="776" t="s">
        <v>235</v>
      </c>
      <c r="L234" s="776" t="s">
        <v>235</v>
      </c>
      <c r="M234" s="776" t="s">
        <v>235</v>
      </c>
      <c r="N234" s="776" t="s">
        <v>235</v>
      </c>
      <c r="O234" s="776" t="s">
        <v>235</v>
      </c>
      <c r="P234" s="776" t="s">
        <v>235</v>
      </c>
      <c r="Q234" s="777" t="s">
        <v>235</v>
      </c>
      <c r="R234" s="777" t="s">
        <v>235</v>
      </c>
      <c r="T234" s="212" t="str">
        <f t="shared" ref="T234:T252" si="593">HLOOKUP($E$6,$F$9:$R$252,$A234,FALSE)</f>
        <v>Yes/No</v>
      </c>
      <c r="U234" s="169"/>
      <c r="V234" s="239"/>
      <c r="W234" s="167"/>
      <c r="X234" s="167"/>
      <c r="Y234" s="168"/>
      <c r="Z234" s="168"/>
      <c r="AA234" s="169"/>
      <c r="AB234" s="213" t="str">
        <f t="shared" ref="AB234:AB248" si="594">T234</f>
        <v>Yes/No</v>
      </c>
      <c r="AD234" s="171"/>
      <c r="AE234" s="240" t="s">
        <v>236</v>
      </c>
      <c r="AF234" s="240" t="s">
        <v>236</v>
      </c>
      <c r="AG234" s="240" t="s">
        <v>236</v>
      </c>
      <c r="AI234" s="214">
        <f>IF(VLOOKUP(E234,'Pre-Assessment Estimator'!$E$11:$AB$225,'Pre-Assessment Estimator'!$G$2,FALSE)&gt;AB234,AB234,VLOOKUP(E234,'Pre-Assessment Estimator'!$E$11:$AB$225,'Pre-Assessment Estimator'!$G$2,FALSE))</f>
        <v>0</v>
      </c>
      <c r="AJ234" s="172">
        <f>IF(VLOOKUP(E234,'Pre-Assessment Estimator'!$E$11:$AB$225,'Pre-Assessment Estimator'!$N$2,FALSE)&gt;AB234,AB234,VLOOKUP(E234,'Pre-Assessment Estimator'!$E$11:$AB$225,'Pre-Assessment Estimator'!$N$2,FALSE))</f>
        <v>0</v>
      </c>
      <c r="AK234" s="172">
        <f>IF(VLOOKUP(E234,'Pre-Assessment Estimator'!$E$11:$AB$225,'Pre-Assessment Estimator'!$U$2,FALSE)&gt;AB234,AB234,VLOOKUP(E234,'Pre-Assessment Estimator'!$E$11:$AB$225,'Pre-Assessment Estimator'!$U$2,FALSE))</f>
        <v>0</v>
      </c>
      <c r="AM234" s="215" t="s">
        <v>12</v>
      </c>
      <c r="AN234" s="216" t="s">
        <v>12</v>
      </c>
      <c r="AO234" s="216" t="s">
        <v>12</v>
      </c>
      <c r="AP234" s="216" t="s">
        <v>12</v>
      </c>
      <c r="AQ234" s="217" t="s">
        <v>12</v>
      </c>
      <c r="AS234" s="215" t="s">
        <v>12</v>
      </c>
      <c r="AT234" s="216" t="s">
        <v>12</v>
      </c>
      <c r="AU234" s="216" t="s">
        <v>12</v>
      </c>
      <c r="AV234" s="216" t="s">
        <v>12</v>
      </c>
      <c r="AW234" s="217" t="s">
        <v>12</v>
      </c>
      <c r="AY234" s="174" t="str">
        <f t="shared" ref="AY234" si="595">IF($E$6=$H$9,AS234,AM234)</f>
        <v>Yes</v>
      </c>
      <c r="AZ234" s="175" t="str">
        <f t="shared" ref="AZ234" si="596">IF($E$6=$H$9,AT234,AN234)</f>
        <v>Yes</v>
      </c>
      <c r="BA234" s="175" t="str">
        <f t="shared" ref="BA234" si="597">IF($E$6=$H$9,AU234,AO234)</f>
        <v>Yes</v>
      </c>
      <c r="BB234" s="175" t="str">
        <f t="shared" ref="BB234" si="598">IF($E$6=$H$9,AV234,AP234)</f>
        <v>Yes</v>
      </c>
      <c r="BC234" s="1119" t="str">
        <f t="shared" ref="BC234" si="599">IF($E$6=$H$9,AW234,AQ234)</f>
        <v>Yes</v>
      </c>
      <c r="BD234" s="182">
        <f>IF(AI234="Yes",5,0)</f>
        <v>0</v>
      </c>
      <c r="BE234" s="164" t="str">
        <f t="shared" ref="BE234" si="600">VLOOKUP(BD234,$BO$283:$BT$289,6,FALSE)</f>
        <v>Unclassified</v>
      </c>
      <c r="BF234" s="178"/>
      <c r="BG234" s="182">
        <f t="shared" ref="BG234" si="601">IF(AJ234="Yes",5,0)</f>
        <v>0</v>
      </c>
      <c r="BH234" s="164" t="str">
        <f t="shared" ref="BH234" si="602">VLOOKUP(BG234,$BO$283:$BT$289,6,FALSE)</f>
        <v>Unclassified</v>
      </c>
      <c r="BI234" s="178"/>
      <c r="BJ234" s="182">
        <f t="shared" ref="BJ234" si="603">IF(AK234="Yes",5,0)</f>
        <v>0</v>
      </c>
      <c r="BK234" s="164" t="str">
        <f t="shared" ref="BK234" si="604">VLOOKUP(BJ234,$BO$283:$BT$289,6,FALSE)</f>
        <v>Unclassified</v>
      </c>
      <c r="BL234" s="178"/>
      <c r="BO234" s="167"/>
      <c r="BP234" s="167"/>
      <c r="BQ234" s="167" t="str">
        <f t="shared" si="551"/>
        <v/>
      </c>
      <c r="BR234" s="167">
        <f t="shared" ref="BR234:BR249" si="605">IF(BQ234="",9,(IF(AI234=AD_Yes,5,0)))</f>
        <v>9</v>
      </c>
      <c r="BS234" s="167">
        <f t="shared" ref="BS234:BS249" si="606">IF(BQ234="",9,(IF(AJ234=AD_Yes,5,0)))</f>
        <v>9</v>
      </c>
      <c r="BT234" s="167">
        <f t="shared" ref="BT234:BT249" si="607">IF(BQ234="",9,(IF(AK234=AD_Yes,5,0)))</f>
        <v>9</v>
      </c>
      <c r="BW234" s="177"/>
      <c r="BX234" s="177"/>
      <c r="BY234" s="177"/>
      <c r="BZ234" s="177"/>
      <c r="CA234" s="177"/>
      <c r="CB234" s="177"/>
    </row>
    <row r="235" spans="1:81" x14ac:dyDescent="0.25">
      <c r="A235" s="96">
        <v>227</v>
      </c>
      <c r="B235" s="96" t="s">
        <v>1048</v>
      </c>
      <c r="C235" s="96" t="s">
        <v>118</v>
      </c>
      <c r="D235" s="1112" t="s">
        <v>1048</v>
      </c>
      <c r="E235" s="1113" t="s">
        <v>1050</v>
      </c>
      <c r="F235" s="1114" t="s">
        <v>235</v>
      </c>
      <c r="G235" s="1114" t="s">
        <v>235</v>
      </c>
      <c r="H235" s="1114" t="s">
        <v>235</v>
      </c>
      <c r="I235" s="1114" t="s">
        <v>235</v>
      </c>
      <c r="J235" s="1114" t="s">
        <v>235</v>
      </c>
      <c r="K235" s="1114" t="s">
        <v>235</v>
      </c>
      <c r="L235" s="1114" t="s">
        <v>235</v>
      </c>
      <c r="M235" s="1114" t="s">
        <v>235</v>
      </c>
      <c r="N235" s="1114" t="s">
        <v>235</v>
      </c>
      <c r="O235" s="1114" t="s">
        <v>235</v>
      </c>
      <c r="P235" s="1114" t="s">
        <v>235</v>
      </c>
      <c r="Q235" s="1115" t="s">
        <v>235</v>
      </c>
      <c r="R235" s="1115" t="s">
        <v>235</v>
      </c>
      <c r="T235" s="212" t="str">
        <f t="shared" si="593"/>
        <v>Yes/No</v>
      </c>
      <c r="U235" s="169"/>
      <c r="V235" s="239"/>
      <c r="W235" s="167"/>
      <c r="X235" s="167"/>
      <c r="Y235" s="168"/>
      <c r="Z235" s="168"/>
      <c r="AA235" s="169"/>
      <c r="AB235" s="213" t="str">
        <f>T235</f>
        <v>Yes/No</v>
      </c>
      <c r="AD235" s="171"/>
      <c r="AE235" s="240" t="s">
        <v>236</v>
      </c>
      <c r="AF235" s="240" t="s">
        <v>236</v>
      </c>
      <c r="AG235" s="240" t="s">
        <v>236</v>
      </c>
      <c r="AI235" s="214">
        <f>IF(VLOOKUP(E235,'Pre-Assessment Estimator'!$E$11:$AB$225,'Pre-Assessment Estimator'!$G$2,FALSE)&gt;AB235,AB235,VLOOKUP(E235,'Pre-Assessment Estimator'!$E$11:$AB$225,'Pre-Assessment Estimator'!$G$2,FALSE))</f>
        <v>0</v>
      </c>
      <c r="AJ235" s="172">
        <f>IF(VLOOKUP(E235,'Pre-Assessment Estimator'!$E$11:$AB$225,'Pre-Assessment Estimator'!$N$2,FALSE)&gt;AB235,AB235,VLOOKUP(E235,'Pre-Assessment Estimator'!$E$11:$AB$225,'Pre-Assessment Estimator'!$N$2,FALSE))</f>
        <v>0</v>
      </c>
      <c r="AK235" s="172">
        <f>IF(VLOOKUP(E235,'Pre-Assessment Estimator'!$E$11:$AB$225,'Pre-Assessment Estimator'!$U$2,FALSE)&gt;AB235,AB235,VLOOKUP(E235,'Pre-Assessment Estimator'!$E$11:$AB$225,'Pre-Assessment Estimator'!$U$2,FALSE))</f>
        <v>0</v>
      </c>
      <c r="AM235" s="215" t="s">
        <v>12</v>
      </c>
      <c r="AN235" s="216" t="s">
        <v>12</v>
      </c>
      <c r="AO235" s="216" t="s">
        <v>12</v>
      </c>
      <c r="AP235" s="216" t="s">
        <v>12</v>
      </c>
      <c r="AQ235" s="217" t="s">
        <v>12</v>
      </c>
      <c r="AS235" s="215" t="s">
        <v>12</v>
      </c>
      <c r="AT235" s="216" t="s">
        <v>12</v>
      </c>
      <c r="AU235" s="216" t="s">
        <v>12</v>
      </c>
      <c r="AV235" s="216" t="s">
        <v>12</v>
      </c>
      <c r="AW235" s="217" t="s">
        <v>12</v>
      </c>
      <c r="AY235" s="174" t="str">
        <f t="shared" ref="AY235" si="608">IF($E$6=$H$9,AS235,AM235)</f>
        <v>Yes</v>
      </c>
      <c r="AZ235" s="175" t="str">
        <f t="shared" ref="AZ235" si="609">IF($E$6=$H$9,AT235,AN235)</f>
        <v>Yes</v>
      </c>
      <c r="BA235" s="175" t="str">
        <f t="shared" ref="BA235" si="610">IF($E$6=$H$9,AU235,AO235)</f>
        <v>Yes</v>
      </c>
      <c r="BB235" s="175" t="str">
        <f t="shared" ref="BB235" si="611">IF($E$6=$H$9,AV235,AP235)</f>
        <v>Yes</v>
      </c>
      <c r="BC235" s="1119" t="str">
        <f t="shared" ref="BC235" si="612">IF($E$6=$H$9,AW235,AQ235)</f>
        <v>Yes</v>
      </c>
      <c r="BD235" s="182">
        <f>IF(AI235="Yes",5,0)</f>
        <v>0</v>
      </c>
      <c r="BE235" s="164" t="str">
        <f t="shared" ref="BE235" si="613">VLOOKUP(BD235,$BO$283:$BT$289,6,FALSE)</f>
        <v>Unclassified</v>
      </c>
      <c r="BF235" s="178"/>
      <c r="BG235" s="182">
        <f t="shared" ref="BG235" si="614">IF(AJ235="Yes",5,0)</f>
        <v>0</v>
      </c>
      <c r="BH235" s="164" t="str">
        <f t="shared" ref="BH235" si="615">VLOOKUP(BG235,$BO$283:$BT$289,6,FALSE)</f>
        <v>Unclassified</v>
      </c>
      <c r="BI235" s="178"/>
      <c r="BJ235" s="182">
        <f t="shared" ref="BJ235" si="616">IF(AK235="Yes",5,0)</f>
        <v>0</v>
      </c>
      <c r="BK235" s="164" t="str">
        <f t="shared" ref="BK235" si="617">VLOOKUP(BJ235,$BO$283:$BT$289,6,FALSE)</f>
        <v>Unclassified</v>
      </c>
      <c r="BL235" s="178"/>
      <c r="BO235" s="167"/>
      <c r="BP235" s="167"/>
      <c r="BQ235" s="167"/>
      <c r="BR235" s="167">
        <f t="shared" ref="BR235" si="618">IF(BQ235="",9,(IF(AI235=AD_Yes,5,0)))</f>
        <v>9</v>
      </c>
      <c r="BS235" s="167">
        <f t="shared" ref="BS235" si="619">IF(BQ235="",9,(IF(AJ235=AD_Yes,5,0)))</f>
        <v>9</v>
      </c>
      <c r="BT235" s="167">
        <f t="shared" ref="BT235" si="620">IF(BQ235="",9,(IF(AK235=AD_Yes,5,0)))</f>
        <v>9</v>
      </c>
      <c r="BW235" s="167"/>
      <c r="BX235" s="167"/>
      <c r="BY235" s="167"/>
      <c r="BZ235" s="167"/>
      <c r="CA235" s="167"/>
      <c r="CB235" s="167"/>
    </row>
    <row r="236" spans="1:81" x14ac:dyDescent="0.25">
      <c r="A236" s="96">
        <v>228</v>
      </c>
      <c r="B236" s="96" t="s">
        <v>734</v>
      </c>
      <c r="C236" s="96" t="s">
        <v>119</v>
      </c>
      <c r="D236" s="1112" t="s">
        <v>734</v>
      </c>
      <c r="E236" s="1113" t="s">
        <v>609</v>
      </c>
      <c r="F236" s="1114" t="s">
        <v>235</v>
      </c>
      <c r="G236" s="1114" t="s">
        <v>235</v>
      </c>
      <c r="H236" s="1114" t="s">
        <v>235</v>
      </c>
      <c r="I236" s="1114" t="s">
        <v>235</v>
      </c>
      <c r="J236" s="1114" t="s">
        <v>235</v>
      </c>
      <c r="K236" s="1114" t="s">
        <v>235</v>
      </c>
      <c r="L236" s="1114" t="s">
        <v>235</v>
      </c>
      <c r="M236" s="1114" t="s">
        <v>235</v>
      </c>
      <c r="N236" s="1114" t="s">
        <v>235</v>
      </c>
      <c r="O236" s="1114" t="s">
        <v>235</v>
      </c>
      <c r="P236" s="1114" t="s">
        <v>235</v>
      </c>
      <c r="Q236" s="1115" t="s">
        <v>235</v>
      </c>
      <c r="R236" s="1115" t="s">
        <v>235</v>
      </c>
      <c r="T236" s="212" t="str">
        <f t="shared" si="593"/>
        <v>Yes/No</v>
      </c>
      <c r="U236" s="169"/>
      <c r="V236" s="239"/>
      <c r="W236" s="167"/>
      <c r="X236" s="167"/>
      <c r="Y236" s="168"/>
      <c r="Z236" s="168"/>
      <c r="AA236" s="169"/>
      <c r="AB236" s="1023" t="str">
        <f>IF(Hea02_credits=0,0,T236)</f>
        <v>Yes/No</v>
      </c>
      <c r="AD236" s="171"/>
      <c r="AE236" s="240" t="s">
        <v>236</v>
      </c>
      <c r="AF236" s="240" t="s">
        <v>236</v>
      </c>
      <c r="AG236" s="240" t="s">
        <v>236</v>
      </c>
      <c r="AI236" s="214">
        <f>IF(VLOOKUP(E236,'Pre-Assessment Estimator'!$E$11:$AB$225,'Pre-Assessment Estimator'!$G$2,FALSE)&gt;AB236,AB236,VLOOKUP(E236,'Pre-Assessment Estimator'!$E$11:$AB$225,'Pre-Assessment Estimator'!$G$2,FALSE))</f>
        <v>0</v>
      </c>
      <c r="AJ236" s="172">
        <f>IF(VLOOKUP(E236,'Pre-Assessment Estimator'!$E$11:$AB$225,'Pre-Assessment Estimator'!$N$2,FALSE)&gt;AB236,AB236,VLOOKUP(E236,'Pre-Assessment Estimator'!$E$11:$AB$225,'Pre-Assessment Estimator'!$N$2,FALSE))</f>
        <v>0</v>
      </c>
      <c r="AK236" s="172">
        <f>IF(VLOOKUP(E236,'Pre-Assessment Estimator'!$E$11:$AB$225,'Pre-Assessment Estimator'!$U$2,FALSE)&gt;AB236,AB236,VLOOKUP(E236,'Pre-Assessment Estimator'!$E$11:$AB$225,'Pre-Assessment Estimator'!$U$2,FALSE))</f>
        <v>0</v>
      </c>
      <c r="AM236" s="312" t="s">
        <v>12</v>
      </c>
      <c r="AN236" s="179" t="s">
        <v>12</v>
      </c>
      <c r="AO236" s="179" t="s">
        <v>12</v>
      </c>
      <c r="AP236" s="179" t="s">
        <v>12</v>
      </c>
      <c r="AQ236" s="180" t="s">
        <v>12</v>
      </c>
      <c r="AS236" s="1116" t="s">
        <v>12</v>
      </c>
      <c r="AT236" s="1117" t="s">
        <v>12</v>
      </c>
      <c r="AU236" s="1117" t="s">
        <v>12</v>
      </c>
      <c r="AV236" s="1117" t="s">
        <v>12</v>
      </c>
      <c r="AW236" s="1118" t="s">
        <v>12</v>
      </c>
      <c r="AY236" s="828" t="str">
        <f t="shared" ref="AY236:BB237" si="621">IF($E$6=$H$9,AS236,AM236)</f>
        <v>Yes</v>
      </c>
      <c r="AZ236" s="829" t="str">
        <f t="shared" si="621"/>
        <v>Yes</v>
      </c>
      <c r="BA236" s="829" t="str">
        <f t="shared" si="621"/>
        <v>Yes</v>
      </c>
      <c r="BB236" s="829" t="str">
        <f t="shared" si="621"/>
        <v>Yes</v>
      </c>
      <c r="BC236" s="848" t="str">
        <f t="shared" ref="BC236:BC248" si="622">IF($E$6=$H$9,AW236,AQ236)</f>
        <v>Yes</v>
      </c>
      <c r="BD236" s="182">
        <f>IF(Hea02_credits=0,9,IF(AND(AI236="Yes",AI142=1),5,0))</f>
        <v>0</v>
      </c>
      <c r="BE236" s="164" t="str">
        <f t="shared" ref="BE236:BE250" si="623">VLOOKUP(BD236,$BO$283:$BT$289,6,FALSE)</f>
        <v>Unclassified</v>
      </c>
      <c r="BF236" s="830"/>
      <c r="BG236" s="182">
        <f>IF(Hea02_credits=0,9,IF(AND(AJ236="Yes",AJ142=1),5,0))</f>
        <v>0</v>
      </c>
      <c r="BH236" s="164" t="str">
        <f t="shared" ref="BH236:BH250" si="624">VLOOKUP(BG236,$BO$283:$BT$289,6,FALSE)</f>
        <v>Unclassified</v>
      </c>
      <c r="BI236" s="830"/>
      <c r="BJ236" s="182">
        <f>IF(Hea02_credits=0,9,IF(AND(AK236="Yes",AK142=1),5,0))</f>
        <v>0</v>
      </c>
      <c r="BK236" s="164" t="str">
        <f t="shared" ref="BK236:BK250" si="625">VLOOKUP(BJ236,$BO$283:$BT$289,6,FALSE)</f>
        <v>Unclassified</v>
      </c>
      <c r="BL236" s="830"/>
      <c r="BO236" s="167"/>
      <c r="BP236" s="167"/>
      <c r="BQ236" s="167" t="str">
        <f t="shared" si="551"/>
        <v/>
      </c>
      <c r="BR236" s="167">
        <f t="shared" si="605"/>
        <v>9</v>
      </c>
      <c r="BS236" s="167">
        <f t="shared" si="606"/>
        <v>9</v>
      </c>
      <c r="BT236" s="167">
        <f t="shared" si="607"/>
        <v>9</v>
      </c>
      <c r="BW236" s="164"/>
      <c r="BX236" s="164"/>
      <c r="BY236" s="164">
        <f>IFERROR(VLOOKUP($E236,'Pre-Assessment Estimator'!$E$11:$AI$225,'Pre-Assessment Estimator'!AI$2,FALSE),"")</f>
        <v>0</v>
      </c>
      <c r="BZ236" s="164" t="str">
        <f>IFERROR(VLOOKUP($BX236,$E$292:$H$325,F$290,FALSE),"")</f>
        <v/>
      </c>
      <c r="CA236" s="164" t="str">
        <f>IFERROR(VLOOKUP($BX236,$E$292:$H$325,G$290,FALSE),"")</f>
        <v/>
      </c>
      <c r="CB236" s="164"/>
      <c r="CC236" s="96" t="str">
        <f>IFERROR(VLOOKUP($BX236,$E$292:$H$325,I$290,FALSE),"")</f>
        <v/>
      </c>
    </row>
    <row r="237" spans="1:81" ht="15.75" thickBot="1" x14ac:dyDescent="0.3">
      <c r="A237" s="96">
        <v>229</v>
      </c>
      <c r="B237" s="96" t="s">
        <v>741</v>
      </c>
      <c r="C237" s="96" t="s">
        <v>122</v>
      </c>
      <c r="D237" s="222" t="s">
        <v>741</v>
      </c>
      <c r="E237" s="977" t="s">
        <v>616</v>
      </c>
      <c r="F237" s="769" t="s">
        <v>235</v>
      </c>
      <c r="G237" s="769" t="s">
        <v>235</v>
      </c>
      <c r="H237" s="769" t="s">
        <v>235</v>
      </c>
      <c r="I237" s="769" t="s">
        <v>235</v>
      </c>
      <c r="J237" s="769" t="s">
        <v>235</v>
      </c>
      <c r="K237" s="769" t="s">
        <v>235</v>
      </c>
      <c r="L237" s="769" t="s">
        <v>235</v>
      </c>
      <c r="M237" s="769" t="s">
        <v>235</v>
      </c>
      <c r="N237" s="769" t="s">
        <v>235</v>
      </c>
      <c r="O237" s="769" t="s">
        <v>235</v>
      </c>
      <c r="P237" s="769" t="s">
        <v>235</v>
      </c>
      <c r="Q237" s="770" t="s">
        <v>235</v>
      </c>
      <c r="R237" s="770" t="s">
        <v>235</v>
      </c>
      <c r="T237" s="221" t="str">
        <f t="shared" si="593"/>
        <v>Yes/No</v>
      </c>
      <c r="U237" s="241"/>
      <c r="V237" s="239"/>
      <c r="W237" s="167"/>
      <c r="X237" s="167"/>
      <c r="Y237" s="168"/>
      <c r="Z237" s="168"/>
      <c r="AA237" s="169"/>
      <c r="AB237" s="213" t="str">
        <f t="shared" si="594"/>
        <v>Yes/No</v>
      </c>
      <c r="AD237" s="171"/>
      <c r="AE237" s="240" t="s">
        <v>236</v>
      </c>
      <c r="AF237" s="240" t="s">
        <v>236</v>
      </c>
      <c r="AG237" s="240" t="s">
        <v>236</v>
      </c>
      <c r="AI237" s="214">
        <f>IF(VLOOKUP(E237,'Pre-Assessment Estimator'!$E$11:$AB$225,'Pre-Assessment Estimator'!$G$2,FALSE)&gt;AB237,AB237,VLOOKUP(E237,'Pre-Assessment Estimator'!$E$11:$AB$225,'Pre-Assessment Estimator'!$G$2,FALSE))</f>
        <v>0</v>
      </c>
      <c r="AJ237" s="172">
        <f>IF(VLOOKUP(E237,'Pre-Assessment Estimator'!$E$11:$AB$225,'Pre-Assessment Estimator'!$N$2,FALSE)&gt;AB237,AB237,VLOOKUP(E237,'Pre-Assessment Estimator'!$E$11:$AB$225,'Pre-Assessment Estimator'!$N$2,FALSE))</f>
        <v>0</v>
      </c>
      <c r="AK237" s="172">
        <f>IF(VLOOKUP(E237,'Pre-Assessment Estimator'!$E$11:$AB$225,'Pre-Assessment Estimator'!$U$2,FALSE)&gt;AB237,AB237,VLOOKUP(E237,'Pre-Assessment Estimator'!$E$11:$AB$225,'Pre-Assessment Estimator'!$U$2,FALSE))</f>
        <v>0</v>
      </c>
      <c r="AM237" s="312"/>
      <c r="AN237" s="179"/>
      <c r="AO237" s="179"/>
      <c r="AP237" s="179"/>
      <c r="AQ237" s="180"/>
      <c r="AS237" s="312"/>
      <c r="AT237" s="179"/>
      <c r="AU237" s="179"/>
      <c r="AV237" s="179"/>
      <c r="AW237" s="180"/>
      <c r="AY237" s="182">
        <f t="shared" si="621"/>
        <v>0</v>
      </c>
      <c r="AZ237" s="183">
        <f t="shared" si="621"/>
        <v>0</v>
      </c>
      <c r="BA237" s="183">
        <f t="shared" si="621"/>
        <v>0</v>
      </c>
      <c r="BB237" s="183">
        <f t="shared" si="621"/>
        <v>0</v>
      </c>
      <c r="BC237" s="187">
        <f t="shared" si="622"/>
        <v>0</v>
      </c>
      <c r="BD237" s="1123">
        <v>9</v>
      </c>
      <c r="BE237" s="164" t="str">
        <f t="shared" si="623"/>
        <v>N/A</v>
      </c>
      <c r="BF237" s="185"/>
      <c r="BG237" s="1123">
        <v>9</v>
      </c>
      <c r="BH237" s="164" t="str">
        <f t="shared" si="624"/>
        <v>N/A</v>
      </c>
      <c r="BI237" s="185"/>
      <c r="BJ237" s="1123">
        <v>9</v>
      </c>
      <c r="BK237" s="164" t="str">
        <f t="shared" si="625"/>
        <v>N/A</v>
      </c>
      <c r="BL237" s="185"/>
      <c r="BO237" s="167"/>
      <c r="BP237" s="167"/>
      <c r="BQ237" s="167" t="str">
        <f t="shared" si="551"/>
        <v/>
      </c>
      <c r="BR237" s="167">
        <f t="shared" si="605"/>
        <v>9</v>
      </c>
      <c r="BS237" s="167">
        <f t="shared" si="606"/>
        <v>9</v>
      </c>
      <c r="BT237" s="167">
        <f t="shared" si="607"/>
        <v>9</v>
      </c>
      <c r="BW237" s="167"/>
      <c r="BX237" s="167"/>
      <c r="BY237" s="167">
        <f>IFERROR(VLOOKUP($E237,'Pre-Assessment Estimator'!$E$11:$AI$225,'Pre-Assessment Estimator'!AI$2,FALSE),"")</f>
        <v>0</v>
      </c>
      <c r="BZ237" s="167" t="str">
        <f>IFERROR(VLOOKUP($BX237,$E$292:$H$325,F$290,FALSE),"")</f>
        <v/>
      </c>
      <c r="CA237" s="167" t="str">
        <f>IFERROR(VLOOKUP($BX237,$E$292:$H$325,G$290,FALSE),"")</f>
        <v/>
      </c>
      <c r="CB237" s="167"/>
      <c r="CC237" s="96" t="str">
        <f>IFERROR(VLOOKUP($BX237,$E$292:$H$325,I$290,FALSE),"")</f>
        <v/>
      </c>
    </row>
    <row r="238" spans="1:81" ht="15.75" thickBot="1" x14ac:dyDescent="0.3">
      <c r="A238" s="96">
        <v>230</v>
      </c>
      <c r="B238" s="96" t="s">
        <v>771</v>
      </c>
      <c r="C238" s="96" t="s">
        <v>174</v>
      </c>
      <c r="D238" s="728" t="s">
        <v>771</v>
      </c>
      <c r="E238" s="971" t="s">
        <v>647</v>
      </c>
      <c r="F238" s="771" t="s">
        <v>235</v>
      </c>
      <c r="G238" s="771" t="s">
        <v>235</v>
      </c>
      <c r="H238" s="771" t="s">
        <v>235</v>
      </c>
      <c r="I238" s="771" t="s">
        <v>235</v>
      </c>
      <c r="J238" s="771" t="s">
        <v>235</v>
      </c>
      <c r="K238" s="771" t="s">
        <v>235</v>
      </c>
      <c r="L238" s="771" t="s">
        <v>235</v>
      </c>
      <c r="M238" s="771" t="s">
        <v>235</v>
      </c>
      <c r="N238" s="771" t="s">
        <v>235</v>
      </c>
      <c r="O238" s="771" t="s">
        <v>235</v>
      </c>
      <c r="P238" s="771" t="s">
        <v>235</v>
      </c>
      <c r="Q238" s="772" t="s">
        <v>235</v>
      </c>
      <c r="R238" s="772" t="s">
        <v>235</v>
      </c>
      <c r="T238" s="221" t="str">
        <f t="shared" si="593"/>
        <v>Yes/No</v>
      </c>
      <c r="U238" s="241"/>
      <c r="V238" s="239"/>
      <c r="W238" s="167"/>
      <c r="X238" s="167"/>
      <c r="Y238" s="168"/>
      <c r="Z238" s="168"/>
      <c r="AA238" s="169"/>
      <c r="AB238" s="213" t="str">
        <f t="shared" si="594"/>
        <v>Yes/No</v>
      </c>
      <c r="AD238" s="171"/>
      <c r="AE238" s="240" t="s">
        <v>236</v>
      </c>
      <c r="AF238" s="240" t="s">
        <v>236</v>
      </c>
      <c r="AG238" s="240" t="s">
        <v>236</v>
      </c>
      <c r="AI238" s="214">
        <f>IF(VLOOKUP(E238,'Pre-Assessment Estimator'!$E$11:$AB$225,'Pre-Assessment Estimator'!$G$2,FALSE)&gt;AB238,AB238,VLOOKUP(E238,'Pre-Assessment Estimator'!$E$11:$AB$225,'Pre-Assessment Estimator'!$G$2,FALSE))</f>
        <v>0</v>
      </c>
      <c r="AJ238" s="172">
        <f>IF(VLOOKUP(E238,'Pre-Assessment Estimator'!$E$11:$AB$225,'Pre-Assessment Estimator'!$N$2,FALSE)&gt;AB238,AB238,VLOOKUP(E238,'Pre-Assessment Estimator'!$E$11:$AB$225,'Pre-Assessment Estimator'!$N$2,FALSE))</f>
        <v>0</v>
      </c>
      <c r="AK238" s="172">
        <f>IF(VLOOKUP(E238,'Pre-Assessment Estimator'!$E$11:$AB$225,'Pre-Assessment Estimator'!$U$2,FALSE)&gt;AB238,AB238,VLOOKUP(E238,'Pre-Assessment Estimator'!$E$11:$AB$225,'Pre-Assessment Estimator'!$U$2,FALSE))</f>
        <v>0</v>
      </c>
      <c r="AM238" s="968" t="s">
        <v>12</v>
      </c>
      <c r="AN238" s="969" t="s">
        <v>12</v>
      </c>
      <c r="AO238" s="969" t="s">
        <v>12</v>
      </c>
      <c r="AP238" s="969" t="s">
        <v>12</v>
      </c>
      <c r="AQ238" s="970" t="s">
        <v>12</v>
      </c>
      <c r="AR238" s="130"/>
      <c r="AS238" s="968" t="s">
        <v>12</v>
      </c>
      <c r="AT238" s="969" t="s">
        <v>12</v>
      </c>
      <c r="AU238" s="969" t="s">
        <v>12</v>
      </c>
      <c r="AV238" s="969" t="s">
        <v>12</v>
      </c>
      <c r="AW238" s="970" t="s">
        <v>12</v>
      </c>
      <c r="AY238" s="182" t="str">
        <f t="shared" ref="AY238" si="626">IF($E$6=$H$9,AS238,AM238)</f>
        <v>Yes</v>
      </c>
      <c r="AZ238" s="183" t="str">
        <f t="shared" ref="AZ238" si="627">IF($E$6=$H$9,AT238,AN238)</f>
        <v>Yes</v>
      </c>
      <c r="BA238" s="183" t="str">
        <f t="shared" ref="BA238" si="628">IF($E$6=$H$9,AU238,AO238)</f>
        <v>Yes</v>
      </c>
      <c r="BB238" s="183" t="str">
        <f t="shared" ref="BB238" si="629">IF($E$6=$H$9,AV238,AP238)</f>
        <v>Yes</v>
      </c>
      <c r="BC238" s="187" t="str">
        <f t="shared" si="622"/>
        <v>Yes</v>
      </c>
      <c r="BD238" s="182">
        <f t="shared" ref="BD238:BD240" si="630">IF(AI238="Yes",5,0)</f>
        <v>0</v>
      </c>
      <c r="BE238" s="164" t="str">
        <f t="shared" si="623"/>
        <v>Unclassified</v>
      </c>
      <c r="BF238" s="185"/>
      <c r="BG238" s="182">
        <f t="shared" ref="BG238:BG240" si="631">IF(AJ238="Yes",5,0)</f>
        <v>0</v>
      </c>
      <c r="BH238" s="164" t="str">
        <f t="shared" si="624"/>
        <v>Unclassified</v>
      </c>
      <c r="BI238" s="185"/>
      <c r="BJ238" s="182">
        <f t="shared" ref="BJ238:BJ240" si="632">IF(AK238="Yes",5,0)</f>
        <v>0</v>
      </c>
      <c r="BK238" s="164" t="str">
        <f t="shared" si="625"/>
        <v>Unclassified</v>
      </c>
      <c r="BL238" s="185"/>
      <c r="BO238" s="167"/>
      <c r="BP238" s="167"/>
      <c r="BQ238" s="167" t="str">
        <f t="shared" si="551"/>
        <v/>
      </c>
      <c r="BR238" s="167">
        <f t="shared" si="605"/>
        <v>9</v>
      </c>
      <c r="BS238" s="167">
        <f t="shared" si="606"/>
        <v>9</v>
      </c>
      <c r="BT238" s="167">
        <f t="shared" si="607"/>
        <v>9</v>
      </c>
      <c r="BW238" s="193"/>
      <c r="BX238" s="193"/>
      <c r="BY238" s="193"/>
      <c r="BZ238" s="193"/>
      <c r="CA238" s="193"/>
      <c r="CB238" s="193"/>
    </row>
    <row r="239" spans="1:81" ht="15.75" thickBot="1" x14ac:dyDescent="0.3">
      <c r="A239" s="96">
        <v>231</v>
      </c>
      <c r="B239" s="96" t="s">
        <v>774</v>
      </c>
      <c r="C239" s="96" t="s">
        <v>479</v>
      </c>
      <c r="D239" s="728" t="s">
        <v>774</v>
      </c>
      <c r="E239" s="1254" t="s">
        <v>1068</v>
      </c>
      <c r="F239" s="771" t="s">
        <v>235</v>
      </c>
      <c r="G239" s="771" t="s">
        <v>235</v>
      </c>
      <c r="H239" s="771" t="s">
        <v>235</v>
      </c>
      <c r="I239" s="771" t="s">
        <v>235</v>
      </c>
      <c r="J239" s="771" t="s">
        <v>235</v>
      </c>
      <c r="K239" s="771" t="s">
        <v>235</v>
      </c>
      <c r="L239" s="771" t="s">
        <v>235</v>
      </c>
      <c r="M239" s="771" t="s">
        <v>235</v>
      </c>
      <c r="N239" s="771" t="s">
        <v>235</v>
      </c>
      <c r="O239" s="771" t="s">
        <v>235</v>
      </c>
      <c r="P239" s="771" t="s">
        <v>235</v>
      </c>
      <c r="Q239" s="772" t="s">
        <v>235</v>
      </c>
      <c r="R239" s="772" t="s">
        <v>235</v>
      </c>
      <c r="T239" s="221" t="str">
        <f t="shared" si="593"/>
        <v>Yes/No</v>
      </c>
      <c r="U239" s="241"/>
      <c r="V239" s="239"/>
      <c r="W239" s="167"/>
      <c r="X239" s="167"/>
      <c r="Y239" s="168"/>
      <c r="Z239" s="168"/>
      <c r="AA239" s="169"/>
      <c r="AB239" s="213" t="str">
        <f t="shared" si="594"/>
        <v>Yes/No</v>
      </c>
      <c r="AD239" s="171"/>
      <c r="AE239" s="240" t="s">
        <v>236</v>
      </c>
      <c r="AF239" s="240" t="s">
        <v>236</v>
      </c>
      <c r="AG239" s="240" t="s">
        <v>236</v>
      </c>
      <c r="AI239" s="214">
        <f>IF(VLOOKUP(E239,'Pre-Assessment Estimator'!$E$11:$AB$225,'Pre-Assessment Estimator'!$G$2,FALSE)&gt;AB239,AB239,VLOOKUP(E239,'Pre-Assessment Estimator'!$E$11:$AB$225,'Pre-Assessment Estimator'!$G$2,FALSE))</f>
        <v>0</v>
      </c>
      <c r="AJ239" s="172">
        <f>IF(VLOOKUP(E239,'Pre-Assessment Estimator'!$E$11:$AB$225,'Pre-Assessment Estimator'!$N$2,FALSE)&gt;AB239,AB239,VLOOKUP(E239,'Pre-Assessment Estimator'!$E$11:$AB$225,'Pre-Assessment Estimator'!$N$2,FALSE))</f>
        <v>0</v>
      </c>
      <c r="AK239" s="172">
        <f>IF(VLOOKUP(E239,'Pre-Assessment Estimator'!$E$11:$AB$225,'Pre-Assessment Estimator'!$U$2,FALSE)&gt;AB239,AB239,VLOOKUP(E239,'Pre-Assessment Estimator'!$E$11:$AB$225,'Pre-Assessment Estimator'!$U$2,FALSE))</f>
        <v>0</v>
      </c>
      <c r="AM239" s="965" t="s">
        <v>12</v>
      </c>
      <c r="AN239" s="966" t="s">
        <v>12</v>
      </c>
      <c r="AO239" s="966" t="s">
        <v>12</v>
      </c>
      <c r="AP239" s="966" t="s">
        <v>12</v>
      </c>
      <c r="AQ239" s="967" t="s">
        <v>12</v>
      </c>
      <c r="AR239" s="137"/>
      <c r="AS239" s="965" t="s">
        <v>12</v>
      </c>
      <c r="AT239" s="966" t="s">
        <v>12</v>
      </c>
      <c r="AU239" s="966" t="s">
        <v>12</v>
      </c>
      <c r="AV239" s="966" t="s">
        <v>12</v>
      </c>
      <c r="AW239" s="967" t="s">
        <v>12</v>
      </c>
      <c r="AY239" s="182" t="str">
        <f t="shared" ref="AY239:AY244" si="633">IF($E$6=$H$9,AS239,AM239)</f>
        <v>Yes</v>
      </c>
      <c r="AZ239" s="183" t="str">
        <f t="shared" ref="AZ239:AZ244" si="634">IF($E$6=$H$9,AT239,AN239)</f>
        <v>Yes</v>
      </c>
      <c r="BA239" s="183" t="str">
        <f t="shared" ref="BA239:BA244" si="635">IF($E$6=$H$9,AU239,AO239)</f>
        <v>Yes</v>
      </c>
      <c r="BB239" s="183" t="str">
        <f t="shared" ref="BB239:BB244" si="636">IF($E$6=$H$9,AV239,AP239)</f>
        <v>Yes</v>
      </c>
      <c r="BC239" s="187" t="str">
        <f t="shared" si="622"/>
        <v>Yes</v>
      </c>
      <c r="BD239" s="182">
        <f t="shared" si="630"/>
        <v>0</v>
      </c>
      <c r="BE239" s="164" t="str">
        <f t="shared" si="623"/>
        <v>Unclassified</v>
      </c>
      <c r="BF239" s="185"/>
      <c r="BG239" s="182">
        <f t="shared" si="631"/>
        <v>0</v>
      </c>
      <c r="BH239" s="164" t="str">
        <f t="shared" si="624"/>
        <v>Unclassified</v>
      </c>
      <c r="BI239" s="185"/>
      <c r="BJ239" s="182">
        <f t="shared" si="632"/>
        <v>0</v>
      </c>
      <c r="BK239" s="164" t="str">
        <f t="shared" si="625"/>
        <v>Unclassified</v>
      </c>
      <c r="BL239" s="185"/>
      <c r="BO239" s="167"/>
      <c r="BP239" s="167" t="s">
        <v>12</v>
      </c>
      <c r="BQ239" s="167" t="str">
        <f t="shared" si="551"/>
        <v>Yes</v>
      </c>
      <c r="BR239" s="167">
        <f t="shared" si="605"/>
        <v>0</v>
      </c>
      <c r="BS239" s="167">
        <f t="shared" si="606"/>
        <v>0</v>
      </c>
      <c r="BT239" s="167">
        <f t="shared" si="607"/>
        <v>0</v>
      </c>
      <c r="BW239" s="193"/>
      <c r="BX239" s="193"/>
      <c r="BY239" s="193"/>
      <c r="BZ239" s="193"/>
      <c r="CA239" s="193"/>
      <c r="CB239" s="193"/>
    </row>
    <row r="240" spans="1:81" ht="15.75" thickBot="1" x14ac:dyDescent="0.3">
      <c r="A240" s="96">
        <v>232</v>
      </c>
      <c r="B240" s="96" t="s">
        <v>777</v>
      </c>
      <c r="C240" s="96" t="s">
        <v>175</v>
      </c>
      <c r="D240" s="728" t="s">
        <v>777</v>
      </c>
      <c r="E240" s="972" t="s">
        <v>990</v>
      </c>
      <c r="F240" s="771" t="s">
        <v>235</v>
      </c>
      <c r="G240" s="771" t="s">
        <v>235</v>
      </c>
      <c r="H240" s="771" t="s">
        <v>235</v>
      </c>
      <c r="I240" s="771" t="s">
        <v>235</v>
      </c>
      <c r="J240" s="771" t="s">
        <v>235</v>
      </c>
      <c r="K240" s="771" t="s">
        <v>235</v>
      </c>
      <c r="L240" s="771" t="s">
        <v>235</v>
      </c>
      <c r="M240" s="771" t="s">
        <v>235</v>
      </c>
      <c r="N240" s="771" t="s">
        <v>235</v>
      </c>
      <c r="O240" s="771" t="s">
        <v>235</v>
      </c>
      <c r="P240" s="771" t="s">
        <v>235</v>
      </c>
      <c r="Q240" s="772" t="s">
        <v>235</v>
      </c>
      <c r="R240" s="772" t="s">
        <v>235</v>
      </c>
      <c r="T240" s="221" t="str">
        <f t="shared" si="593"/>
        <v>Yes/No</v>
      </c>
      <c r="U240" s="241"/>
      <c r="V240" s="239"/>
      <c r="W240" s="167"/>
      <c r="X240" s="167"/>
      <c r="Y240" s="168"/>
      <c r="Z240" s="168"/>
      <c r="AA240" s="169"/>
      <c r="AB240" s="213" t="str">
        <f t="shared" si="594"/>
        <v>Yes/No</v>
      </c>
      <c r="AD240" s="171"/>
      <c r="AE240" s="240" t="s">
        <v>236</v>
      </c>
      <c r="AF240" s="240" t="s">
        <v>236</v>
      </c>
      <c r="AG240" s="240" t="s">
        <v>236</v>
      </c>
      <c r="AI240" s="214">
        <f>IF(VLOOKUP(E240,'Pre-Assessment Estimator'!$E$11:$AB$225,'Pre-Assessment Estimator'!$G$2,FALSE)&gt;AB240,AB240,VLOOKUP(E240,'Pre-Assessment Estimator'!$E$11:$AB$225,'Pre-Assessment Estimator'!$G$2,FALSE))</f>
        <v>0</v>
      </c>
      <c r="AJ240" s="172">
        <f>IF(VLOOKUP(E240,'Pre-Assessment Estimator'!$E$11:$AB$225,'Pre-Assessment Estimator'!$N$2,FALSE)&gt;AB240,AB240,VLOOKUP(E240,'Pre-Assessment Estimator'!$E$11:$AB$225,'Pre-Assessment Estimator'!$N$2,FALSE))</f>
        <v>0</v>
      </c>
      <c r="AK240" s="172">
        <f>IF(VLOOKUP(E240,'Pre-Assessment Estimator'!$E$11:$AB$225,'Pre-Assessment Estimator'!$U$2,FALSE)&gt;AB240,AB240,VLOOKUP(E240,'Pre-Assessment Estimator'!$E$11:$AB$225,'Pre-Assessment Estimator'!$U$2,FALSE))</f>
        <v>0</v>
      </c>
      <c r="AM240" s="965" t="s">
        <v>12</v>
      </c>
      <c r="AN240" s="966" t="s">
        <v>12</v>
      </c>
      <c r="AO240" s="966" t="s">
        <v>12</v>
      </c>
      <c r="AP240" s="966" t="s">
        <v>12</v>
      </c>
      <c r="AQ240" s="967" t="s">
        <v>12</v>
      </c>
      <c r="AR240" s="137"/>
      <c r="AS240" s="965" t="s">
        <v>12</v>
      </c>
      <c r="AT240" s="966" t="s">
        <v>12</v>
      </c>
      <c r="AU240" s="966" t="s">
        <v>12</v>
      </c>
      <c r="AV240" s="966" t="s">
        <v>12</v>
      </c>
      <c r="AW240" s="967" t="s">
        <v>12</v>
      </c>
      <c r="AY240" s="182" t="str">
        <f t="shared" si="633"/>
        <v>Yes</v>
      </c>
      <c r="AZ240" s="183" t="str">
        <f t="shared" si="634"/>
        <v>Yes</v>
      </c>
      <c r="BA240" s="183" t="str">
        <f t="shared" si="635"/>
        <v>Yes</v>
      </c>
      <c r="BB240" s="183" t="str">
        <f t="shared" si="636"/>
        <v>Yes</v>
      </c>
      <c r="BC240" s="187" t="str">
        <f t="shared" si="622"/>
        <v>Yes</v>
      </c>
      <c r="BD240" s="182">
        <f t="shared" si="630"/>
        <v>0</v>
      </c>
      <c r="BE240" s="164" t="str">
        <f t="shared" si="623"/>
        <v>Unclassified</v>
      </c>
      <c r="BF240" s="185"/>
      <c r="BG240" s="182">
        <f t="shared" si="631"/>
        <v>0</v>
      </c>
      <c r="BH240" s="164" t="str">
        <f t="shared" si="624"/>
        <v>Unclassified</v>
      </c>
      <c r="BI240" s="185"/>
      <c r="BJ240" s="182">
        <f t="shared" si="632"/>
        <v>0</v>
      </c>
      <c r="BK240" s="164" t="str">
        <f t="shared" si="625"/>
        <v>Unclassified</v>
      </c>
      <c r="BL240" s="185"/>
      <c r="BO240" s="167"/>
      <c r="BP240" s="167"/>
      <c r="BQ240" s="167" t="str">
        <f t="shared" si="551"/>
        <v/>
      </c>
      <c r="BR240" s="167">
        <f t="shared" si="605"/>
        <v>9</v>
      </c>
      <c r="BS240" s="167">
        <f t="shared" si="606"/>
        <v>9</v>
      </c>
      <c r="BT240" s="167">
        <f t="shared" si="607"/>
        <v>9</v>
      </c>
      <c r="BW240" s="193"/>
      <c r="BX240" s="193"/>
      <c r="BY240" s="193"/>
      <c r="BZ240" s="193"/>
      <c r="CA240" s="193"/>
      <c r="CB240" s="193"/>
    </row>
    <row r="241" spans="1:81" ht="15.75" thickBot="1" x14ac:dyDescent="0.3">
      <c r="A241" s="96">
        <v>233</v>
      </c>
      <c r="B241" s="96" t="s">
        <v>780</v>
      </c>
      <c r="C241" s="96" t="s">
        <v>176</v>
      </c>
      <c r="D241" s="728" t="s">
        <v>780</v>
      </c>
      <c r="E241" s="972" t="s">
        <v>656</v>
      </c>
      <c r="F241" s="771" t="s">
        <v>235</v>
      </c>
      <c r="G241" s="771" t="s">
        <v>235</v>
      </c>
      <c r="H241" s="771" t="s">
        <v>235</v>
      </c>
      <c r="I241" s="771" t="s">
        <v>235</v>
      </c>
      <c r="J241" s="771" t="s">
        <v>235</v>
      </c>
      <c r="K241" s="771" t="s">
        <v>235</v>
      </c>
      <c r="L241" s="771" t="s">
        <v>235</v>
      </c>
      <c r="M241" s="771" t="s">
        <v>235</v>
      </c>
      <c r="N241" s="771" t="s">
        <v>235</v>
      </c>
      <c r="O241" s="771" t="s">
        <v>235</v>
      </c>
      <c r="P241" s="771" t="s">
        <v>235</v>
      </c>
      <c r="Q241" s="772" t="s">
        <v>235</v>
      </c>
      <c r="R241" s="772" t="s">
        <v>235</v>
      </c>
      <c r="T241" s="221" t="str">
        <f t="shared" si="593"/>
        <v>Yes/No</v>
      </c>
      <c r="U241" s="241"/>
      <c r="V241" s="239"/>
      <c r="W241" s="167"/>
      <c r="X241" s="167"/>
      <c r="Y241" s="168"/>
      <c r="Z241" s="168"/>
      <c r="AA241" s="169"/>
      <c r="AB241" s="213" t="str">
        <f t="shared" si="594"/>
        <v>Yes/No</v>
      </c>
      <c r="AD241" s="171"/>
      <c r="AE241" s="240" t="s">
        <v>236</v>
      </c>
      <c r="AF241" s="240" t="s">
        <v>236</v>
      </c>
      <c r="AG241" s="240" t="s">
        <v>236</v>
      </c>
      <c r="AI241" s="214">
        <f>IF(VLOOKUP(E241,'Pre-Assessment Estimator'!$E$11:$AB$225,'Pre-Assessment Estimator'!$G$2,FALSE)&gt;AB241,AB241,VLOOKUP(E241,'Pre-Assessment Estimator'!$E$11:$AB$225,'Pre-Assessment Estimator'!$G$2,FALSE))</f>
        <v>0</v>
      </c>
      <c r="AJ241" s="172">
        <f>IF(VLOOKUP(E241,'Pre-Assessment Estimator'!$E$11:$AB$225,'Pre-Assessment Estimator'!$N$2,FALSE)&gt;AB241,AB241,VLOOKUP(E241,'Pre-Assessment Estimator'!$E$11:$AB$225,'Pre-Assessment Estimator'!$N$2,FALSE))</f>
        <v>0</v>
      </c>
      <c r="AK241" s="172">
        <f>IF(VLOOKUP(E241,'Pre-Assessment Estimator'!$E$11:$AB$225,'Pre-Assessment Estimator'!$U$2,FALSE)&gt;AB241,AB241,VLOOKUP(E241,'Pre-Assessment Estimator'!$E$11:$AB$225,'Pre-Assessment Estimator'!$U$2,FALSE))</f>
        <v>0</v>
      </c>
      <c r="AM241" s="729"/>
      <c r="AN241" s="232"/>
      <c r="AO241" s="232"/>
      <c r="AP241" s="232"/>
      <c r="AQ241" s="233"/>
      <c r="AS241" s="729"/>
      <c r="AT241" s="232"/>
      <c r="AU241" s="232"/>
      <c r="AV241" s="232"/>
      <c r="AW241" s="233"/>
      <c r="AY241" s="182">
        <f t="shared" ref="AY241" si="637">IF($E$6=$H$9,AS241,AM241)</f>
        <v>0</v>
      </c>
      <c r="AZ241" s="183">
        <f t="shared" ref="AZ241" si="638">IF($E$6=$H$9,AT241,AN241)</f>
        <v>0</v>
      </c>
      <c r="BA241" s="183">
        <f t="shared" ref="BA241" si="639">IF($E$6=$H$9,AU241,AO241)</f>
        <v>0</v>
      </c>
      <c r="BB241" s="183">
        <f t="shared" ref="BB241" si="640">IF($E$6=$H$9,AV241,AP241)</f>
        <v>0</v>
      </c>
      <c r="BC241" s="187">
        <f t="shared" ref="BC241" si="641">IF($E$6=$H$9,AW241,AQ241)</f>
        <v>0</v>
      </c>
      <c r="BD241" s="1123">
        <v>9</v>
      </c>
      <c r="BE241" s="164" t="str">
        <f t="shared" si="623"/>
        <v>N/A</v>
      </c>
      <c r="BF241" s="185"/>
      <c r="BG241" s="1123">
        <v>9</v>
      </c>
      <c r="BH241" s="164" t="str">
        <f t="shared" si="624"/>
        <v>N/A</v>
      </c>
      <c r="BI241" s="185"/>
      <c r="BJ241" s="1123">
        <v>9</v>
      </c>
      <c r="BK241" s="164" t="str">
        <f t="shared" si="625"/>
        <v>N/A</v>
      </c>
      <c r="BL241" s="185"/>
      <c r="BO241" s="167"/>
      <c r="BP241" s="167"/>
      <c r="BQ241" s="167" t="str">
        <f t="shared" si="551"/>
        <v/>
      </c>
      <c r="BR241" s="167">
        <f t="shared" si="605"/>
        <v>9</v>
      </c>
      <c r="BS241" s="167">
        <f t="shared" si="606"/>
        <v>9</v>
      </c>
      <c r="BT241" s="167">
        <f t="shared" si="607"/>
        <v>9</v>
      </c>
      <c r="BW241" s="193"/>
      <c r="BX241" s="193"/>
      <c r="BY241" s="193"/>
      <c r="BZ241" s="193"/>
      <c r="CA241" s="193"/>
      <c r="CB241" s="193"/>
    </row>
    <row r="242" spans="1:81" ht="15.75" thickBot="1" x14ac:dyDescent="0.3">
      <c r="A242" s="96">
        <v>234</v>
      </c>
      <c r="B242" s="96" t="s">
        <v>799</v>
      </c>
      <c r="C242" s="96" t="s">
        <v>182</v>
      </c>
      <c r="D242" s="728" t="s">
        <v>799</v>
      </c>
      <c r="E242" s="972" t="s">
        <v>1031</v>
      </c>
      <c r="F242" s="771" t="s">
        <v>235</v>
      </c>
      <c r="G242" s="771" t="s">
        <v>235</v>
      </c>
      <c r="H242" s="771" t="s">
        <v>235</v>
      </c>
      <c r="I242" s="771" t="s">
        <v>235</v>
      </c>
      <c r="J242" s="771" t="s">
        <v>235</v>
      </c>
      <c r="K242" s="771" t="s">
        <v>235</v>
      </c>
      <c r="L242" s="771" t="s">
        <v>235</v>
      </c>
      <c r="M242" s="771" t="s">
        <v>235</v>
      </c>
      <c r="N242" s="771" t="s">
        <v>235</v>
      </c>
      <c r="O242" s="771" t="s">
        <v>235</v>
      </c>
      <c r="P242" s="771" t="s">
        <v>235</v>
      </c>
      <c r="Q242" s="772" t="s">
        <v>235</v>
      </c>
      <c r="R242" s="772" t="s">
        <v>235</v>
      </c>
      <c r="T242" s="221" t="str">
        <f t="shared" si="593"/>
        <v>Yes/No</v>
      </c>
      <c r="U242" s="241"/>
      <c r="V242" s="239"/>
      <c r="W242" s="167"/>
      <c r="X242" s="167"/>
      <c r="Y242" s="168"/>
      <c r="Z242" s="168"/>
      <c r="AA242" s="169"/>
      <c r="AB242" s="213" t="str">
        <f t="shared" si="594"/>
        <v>Yes/No</v>
      </c>
      <c r="AD242" s="171"/>
      <c r="AE242" s="240" t="s">
        <v>236</v>
      </c>
      <c r="AF242" s="240" t="s">
        <v>236</v>
      </c>
      <c r="AG242" s="240" t="s">
        <v>236</v>
      </c>
      <c r="AI242" s="214">
        <f>IF(VLOOKUP(E242,'Pre-Assessment Estimator'!$E$11:$AB$225,'Pre-Assessment Estimator'!$G$2,FALSE)&gt;AB242,AB242,VLOOKUP(E242,'Pre-Assessment Estimator'!$E$11:$AB$225,'Pre-Assessment Estimator'!$G$2,FALSE))</f>
        <v>0</v>
      </c>
      <c r="AJ242" s="172">
        <f>IF(VLOOKUP(E242,'Pre-Assessment Estimator'!$E$11:$AB$225,'Pre-Assessment Estimator'!$N$2,FALSE)&gt;AB242,AB242,VLOOKUP(E242,'Pre-Assessment Estimator'!$E$11:$AB$225,'Pre-Assessment Estimator'!$N$2,FALSE))</f>
        <v>0</v>
      </c>
      <c r="AK242" s="172">
        <f>IF(VLOOKUP(E242,'Pre-Assessment Estimator'!$E$11:$AB$225,'Pre-Assessment Estimator'!$U$2,FALSE)&gt;AB242,AB242,VLOOKUP(E242,'Pre-Assessment Estimator'!$E$11:$AB$225,'Pre-Assessment Estimator'!$U$2,FALSE))</f>
        <v>0</v>
      </c>
      <c r="AM242" s="729"/>
      <c r="AN242" s="232"/>
      <c r="AO242" s="232"/>
      <c r="AP242" s="232"/>
      <c r="AQ242" s="233"/>
      <c r="AS242" s="729"/>
      <c r="AT242" s="232"/>
      <c r="AU242" s="232"/>
      <c r="AV242" s="232"/>
      <c r="AW242" s="233"/>
      <c r="AY242" s="182">
        <f t="shared" si="633"/>
        <v>0</v>
      </c>
      <c r="AZ242" s="183">
        <f t="shared" si="634"/>
        <v>0</v>
      </c>
      <c r="BA242" s="183">
        <f t="shared" si="635"/>
        <v>0</v>
      </c>
      <c r="BB242" s="183">
        <f t="shared" si="636"/>
        <v>0</v>
      </c>
      <c r="BC242" s="187">
        <f t="shared" si="622"/>
        <v>0</v>
      </c>
      <c r="BD242" s="1123">
        <v>9</v>
      </c>
      <c r="BE242" s="164" t="str">
        <f t="shared" si="623"/>
        <v>N/A</v>
      </c>
      <c r="BF242" s="185"/>
      <c r="BG242" s="1123">
        <v>9</v>
      </c>
      <c r="BH242" s="164" t="str">
        <f t="shared" si="624"/>
        <v>N/A</v>
      </c>
      <c r="BI242" s="185"/>
      <c r="BJ242" s="1123">
        <v>9</v>
      </c>
      <c r="BK242" s="164" t="str">
        <f t="shared" si="625"/>
        <v>N/A</v>
      </c>
      <c r="BL242" s="185"/>
      <c r="BO242" s="167"/>
      <c r="BP242" s="167"/>
      <c r="BQ242" s="167"/>
      <c r="BR242" s="167">
        <f t="shared" si="605"/>
        <v>9</v>
      </c>
      <c r="BS242" s="167">
        <f t="shared" si="606"/>
        <v>9</v>
      </c>
      <c r="BT242" s="167">
        <f t="shared" si="607"/>
        <v>9</v>
      </c>
      <c r="BW242" s="193"/>
      <c r="BX242" s="193"/>
      <c r="BY242" s="193"/>
      <c r="BZ242" s="193"/>
      <c r="CA242" s="193"/>
      <c r="CB242" s="193"/>
    </row>
    <row r="243" spans="1:81" ht="15.75" thickBot="1" x14ac:dyDescent="0.3">
      <c r="A243" s="96">
        <v>235</v>
      </c>
      <c r="B243" s="96" t="s">
        <v>802</v>
      </c>
      <c r="C243" s="96" t="s">
        <v>481</v>
      </c>
      <c r="D243" s="728" t="s">
        <v>802</v>
      </c>
      <c r="E243" s="972" t="s">
        <v>676</v>
      </c>
      <c r="F243" s="771" t="s">
        <v>235</v>
      </c>
      <c r="G243" s="771" t="s">
        <v>235</v>
      </c>
      <c r="H243" s="771" t="s">
        <v>235</v>
      </c>
      <c r="I243" s="771" t="s">
        <v>235</v>
      </c>
      <c r="J243" s="771" t="s">
        <v>235</v>
      </c>
      <c r="K243" s="771" t="s">
        <v>235</v>
      </c>
      <c r="L243" s="771" t="s">
        <v>235</v>
      </c>
      <c r="M243" s="771" t="s">
        <v>235</v>
      </c>
      <c r="N243" s="771" t="s">
        <v>235</v>
      </c>
      <c r="O243" s="771" t="s">
        <v>235</v>
      </c>
      <c r="P243" s="771" t="s">
        <v>235</v>
      </c>
      <c r="Q243" s="772" t="s">
        <v>235</v>
      </c>
      <c r="R243" s="772" t="s">
        <v>235</v>
      </c>
      <c r="T243" s="221" t="str">
        <f t="shared" si="593"/>
        <v>Yes/No</v>
      </c>
      <c r="U243" s="241"/>
      <c r="V243" s="239"/>
      <c r="W243" s="167"/>
      <c r="X243" s="167"/>
      <c r="Y243" s="168"/>
      <c r="Z243" s="168"/>
      <c r="AA243" s="169"/>
      <c r="AB243" s="213" t="str">
        <f t="shared" si="594"/>
        <v>Yes/No</v>
      </c>
      <c r="AD243" s="171"/>
      <c r="AE243" s="240" t="s">
        <v>236</v>
      </c>
      <c r="AF243" s="240" t="s">
        <v>236</v>
      </c>
      <c r="AG243" s="240" t="s">
        <v>236</v>
      </c>
      <c r="AI243" s="214" t="str">
        <f>IF(AI173+AI174=LE02_credits,AD_Yes,AD_no)</f>
        <v>No</v>
      </c>
      <c r="AJ243" s="172" t="str">
        <f>IF(AJ173+AJ174=LE02_credits,AD_Yes,AD_no)</f>
        <v>No</v>
      </c>
      <c r="AK243" s="172" t="str">
        <f>IF(AK173+AK174=LE02_credits,AD_Yes,AD_no)</f>
        <v>No</v>
      </c>
      <c r="AM243" s="729"/>
      <c r="AN243" s="232"/>
      <c r="AO243" s="232"/>
      <c r="AP243" s="232"/>
      <c r="AQ243" s="233"/>
      <c r="AS243" s="729"/>
      <c r="AT243" s="232"/>
      <c r="AU243" s="232"/>
      <c r="AV243" s="232"/>
      <c r="AW243" s="233"/>
      <c r="AY243" s="182">
        <f t="shared" si="633"/>
        <v>0</v>
      </c>
      <c r="AZ243" s="183">
        <f t="shared" si="634"/>
        <v>0</v>
      </c>
      <c r="BA243" s="183">
        <f t="shared" si="635"/>
        <v>0</v>
      </c>
      <c r="BB243" s="183">
        <f t="shared" si="636"/>
        <v>0</v>
      </c>
      <c r="BC243" s="187">
        <f t="shared" si="622"/>
        <v>0</v>
      </c>
      <c r="BD243" s="1123">
        <v>9</v>
      </c>
      <c r="BE243" s="164" t="str">
        <f t="shared" si="623"/>
        <v>N/A</v>
      </c>
      <c r="BF243" s="185"/>
      <c r="BG243" s="1123">
        <v>9</v>
      </c>
      <c r="BH243" s="164" t="str">
        <f t="shared" si="624"/>
        <v>N/A</v>
      </c>
      <c r="BI243" s="185"/>
      <c r="BJ243" s="1123">
        <v>9</v>
      </c>
      <c r="BK243" s="164" t="str">
        <f t="shared" si="625"/>
        <v>N/A</v>
      </c>
      <c r="BL243" s="185"/>
      <c r="BO243" s="167"/>
      <c r="BP243" s="167"/>
      <c r="BQ243" s="167" t="str">
        <f t="shared" si="551"/>
        <v/>
      </c>
      <c r="BR243" s="167">
        <f t="shared" si="605"/>
        <v>9</v>
      </c>
      <c r="BS243" s="167">
        <f t="shared" si="606"/>
        <v>9</v>
      </c>
      <c r="BT243" s="167">
        <f t="shared" si="607"/>
        <v>9</v>
      </c>
      <c r="BW243" s="193"/>
      <c r="BX243" s="193"/>
      <c r="BY243" s="193"/>
      <c r="BZ243" s="193"/>
      <c r="CA243" s="193"/>
      <c r="CB243" s="193"/>
    </row>
    <row r="244" spans="1:81" ht="15.75" thickBot="1" x14ac:dyDescent="0.3">
      <c r="A244" s="96">
        <v>236</v>
      </c>
      <c r="B244" s="96" t="s">
        <v>805</v>
      </c>
      <c r="C244" s="96" t="s">
        <v>183</v>
      </c>
      <c r="D244" s="728" t="s">
        <v>805</v>
      </c>
      <c r="E244" s="972" t="s">
        <v>991</v>
      </c>
      <c r="F244" s="771" t="s">
        <v>235</v>
      </c>
      <c r="G244" s="771" t="s">
        <v>235</v>
      </c>
      <c r="H244" s="771" t="s">
        <v>235</v>
      </c>
      <c r="I244" s="771" t="s">
        <v>235</v>
      </c>
      <c r="J244" s="771" t="s">
        <v>235</v>
      </c>
      <c r="K244" s="771" t="s">
        <v>235</v>
      </c>
      <c r="L244" s="771" t="s">
        <v>235</v>
      </c>
      <c r="M244" s="771" t="s">
        <v>235</v>
      </c>
      <c r="N244" s="771" t="s">
        <v>235</v>
      </c>
      <c r="O244" s="771" t="s">
        <v>235</v>
      </c>
      <c r="P244" s="771" t="s">
        <v>235</v>
      </c>
      <c r="Q244" s="772" t="s">
        <v>235</v>
      </c>
      <c r="R244" s="772" t="s">
        <v>235</v>
      </c>
      <c r="T244" s="221" t="str">
        <f t="shared" si="593"/>
        <v>Yes/No</v>
      </c>
      <c r="U244" s="241"/>
      <c r="V244" s="239"/>
      <c r="W244" s="167"/>
      <c r="X244" s="167"/>
      <c r="Y244" s="168"/>
      <c r="Z244" s="168"/>
      <c r="AA244" s="169"/>
      <c r="AB244" s="213" t="str">
        <f t="shared" si="594"/>
        <v>Yes/No</v>
      </c>
      <c r="AD244" s="171"/>
      <c r="AE244" s="240" t="s">
        <v>236</v>
      </c>
      <c r="AF244" s="240" t="s">
        <v>236</v>
      </c>
      <c r="AG244" s="240" t="s">
        <v>236</v>
      </c>
      <c r="AI244" s="214">
        <f>IF(VLOOKUP(E244,'Pre-Assessment Estimator'!$E$11:$AB$225,'Pre-Assessment Estimator'!$G$2,FALSE)&gt;AB244,AB244,VLOOKUP(E244,'Pre-Assessment Estimator'!$E$11:$AB$225,'Pre-Assessment Estimator'!$G$2,FALSE))</f>
        <v>0</v>
      </c>
      <c r="AJ244" s="172">
        <f>IF(VLOOKUP(E244,'Pre-Assessment Estimator'!$E$11:$AB$225,'Pre-Assessment Estimator'!$N$2,FALSE)&gt;AB244,AB244,VLOOKUP(E244,'Pre-Assessment Estimator'!$E$11:$AB$225,'Pre-Assessment Estimator'!$N$2,FALSE))</f>
        <v>0</v>
      </c>
      <c r="AK244" s="172">
        <f>IF(VLOOKUP(E244,'Pre-Assessment Estimator'!$E$11:$AB$225,'Pre-Assessment Estimator'!$U$2,FALSE)&gt;AB244,AB244,VLOOKUP(E244,'Pre-Assessment Estimator'!$E$11:$AB$225,'Pre-Assessment Estimator'!$U$2,FALSE))</f>
        <v>0</v>
      </c>
      <c r="AM244" s="729"/>
      <c r="AN244" s="232"/>
      <c r="AO244" s="232"/>
      <c r="AP244" s="232"/>
      <c r="AQ244" s="233"/>
      <c r="AS244" s="729"/>
      <c r="AT244" s="232"/>
      <c r="AU244" s="232"/>
      <c r="AV244" s="232"/>
      <c r="AW244" s="233"/>
      <c r="AY244" s="182">
        <f t="shared" si="633"/>
        <v>0</v>
      </c>
      <c r="AZ244" s="183">
        <f t="shared" si="634"/>
        <v>0</v>
      </c>
      <c r="BA244" s="183">
        <f t="shared" si="635"/>
        <v>0</v>
      </c>
      <c r="BB244" s="183">
        <f t="shared" si="636"/>
        <v>0</v>
      </c>
      <c r="BC244" s="187">
        <f t="shared" si="622"/>
        <v>0</v>
      </c>
      <c r="BD244" s="1123">
        <v>9</v>
      </c>
      <c r="BE244" s="164" t="str">
        <f t="shared" si="623"/>
        <v>N/A</v>
      </c>
      <c r="BF244" s="185"/>
      <c r="BG244" s="1123">
        <v>9</v>
      </c>
      <c r="BH244" s="164" t="str">
        <f t="shared" si="624"/>
        <v>N/A</v>
      </c>
      <c r="BI244" s="185"/>
      <c r="BJ244" s="1123">
        <v>9</v>
      </c>
      <c r="BK244" s="164" t="str">
        <f t="shared" si="625"/>
        <v>N/A</v>
      </c>
      <c r="BL244" s="185"/>
      <c r="BO244" s="167"/>
      <c r="BP244" s="167"/>
      <c r="BQ244" s="167" t="str">
        <f t="shared" si="551"/>
        <v/>
      </c>
      <c r="BR244" s="167">
        <f t="shared" si="605"/>
        <v>9</v>
      </c>
      <c r="BS244" s="167">
        <f t="shared" si="606"/>
        <v>9</v>
      </c>
      <c r="BT244" s="167">
        <f t="shared" si="607"/>
        <v>9</v>
      </c>
      <c r="BW244" s="193"/>
      <c r="BX244" s="193"/>
      <c r="BY244" s="193"/>
      <c r="BZ244" s="193"/>
      <c r="CA244" s="193"/>
      <c r="CB244" s="193"/>
    </row>
    <row r="245" spans="1:81" ht="15.75" thickBot="1" x14ac:dyDescent="0.3">
      <c r="A245" s="96">
        <v>237</v>
      </c>
      <c r="B245" s="96" t="s">
        <v>808</v>
      </c>
      <c r="C245" s="96" t="s">
        <v>184</v>
      </c>
      <c r="D245" s="728" t="s">
        <v>808</v>
      </c>
      <c r="E245" s="972" t="s">
        <v>682</v>
      </c>
      <c r="F245" s="771" t="s">
        <v>235</v>
      </c>
      <c r="G245" s="771" t="s">
        <v>235</v>
      </c>
      <c r="H245" s="771" t="s">
        <v>235</v>
      </c>
      <c r="I245" s="771" t="s">
        <v>235</v>
      </c>
      <c r="J245" s="771" t="s">
        <v>235</v>
      </c>
      <c r="K245" s="771" t="s">
        <v>235</v>
      </c>
      <c r="L245" s="771" t="s">
        <v>235</v>
      </c>
      <c r="M245" s="771" t="s">
        <v>235</v>
      </c>
      <c r="N245" s="771" t="s">
        <v>235</v>
      </c>
      <c r="O245" s="771" t="s">
        <v>235</v>
      </c>
      <c r="P245" s="771" t="s">
        <v>235</v>
      </c>
      <c r="Q245" s="772" t="s">
        <v>235</v>
      </c>
      <c r="R245" s="772" t="s">
        <v>235</v>
      </c>
      <c r="T245" s="221" t="str">
        <f t="shared" si="593"/>
        <v>Yes/No</v>
      </c>
      <c r="U245" s="241"/>
      <c r="V245" s="239"/>
      <c r="W245" s="167"/>
      <c r="X245" s="167"/>
      <c r="Y245" s="168"/>
      <c r="Z245" s="168"/>
      <c r="AA245" s="169"/>
      <c r="AB245" s="213" t="str">
        <f t="shared" si="594"/>
        <v>Yes/No</v>
      </c>
      <c r="AD245" s="171"/>
      <c r="AE245" s="240" t="s">
        <v>236</v>
      </c>
      <c r="AF245" s="240" t="s">
        <v>236</v>
      </c>
      <c r="AG245" s="240" t="s">
        <v>236</v>
      </c>
      <c r="AI245" s="214">
        <f>IF(VLOOKUP(E245,'Pre-Assessment Estimator'!$E$11:$AB$225,'Pre-Assessment Estimator'!$G$2,FALSE)&gt;AB245,AB245,VLOOKUP(E245,'Pre-Assessment Estimator'!$E$11:$AB$225,'Pre-Assessment Estimator'!$G$2,FALSE))</f>
        <v>0</v>
      </c>
      <c r="AJ245" s="172">
        <f>IF(VLOOKUP(E245,'Pre-Assessment Estimator'!$E$11:$AB$225,'Pre-Assessment Estimator'!$N$2,FALSE)&gt;AB245,AB245,VLOOKUP(E245,'Pre-Assessment Estimator'!$E$11:$AB$225,'Pre-Assessment Estimator'!$N$2,FALSE))</f>
        <v>0</v>
      </c>
      <c r="AK245" s="172">
        <f>IF(VLOOKUP(E245,'Pre-Assessment Estimator'!$E$11:$AB$225,'Pre-Assessment Estimator'!$U$2,FALSE)&gt;AB245,AB245,VLOOKUP(E245,'Pre-Assessment Estimator'!$E$11:$AB$225,'Pre-Assessment Estimator'!$U$2,FALSE))</f>
        <v>0</v>
      </c>
      <c r="AM245" s="729"/>
      <c r="AN245" s="232"/>
      <c r="AO245" s="232"/>
      <c r="AP245" s="232"/>
      <c r="AQ245" s="233"/>
      <c r="AS245" s="729"/>
      <c r="AT245" s="232"/>
      <c r="AU245" s="232"/>
      <c r="AV245" s="232"/>
      <c r="AW245" s="233"/>
      <c r="AY245" s="182">
        <f t="shared" ref="AY245:AY248" si="642">IF($E$6=$H$9,AS245,AM245)</f>
        <v>0</v>
      </c>
      <c r="AZ245" s="183">
        <f t="shared" ref="AZ245:AZ248" si="643">IF($E$6=$H$9,AT245,AN245)</f>
        <v>0</v>
      </c>
      <c r="BA245" s="183">
        <f t="shared" ref="BA245:BA248" si="644">IF($E$6=$H$9,AU245,AO245)</f>
        <v>0</v>
      </c>
      <c r="BB245" s="183">
        <f t="shared" ref="BB245:BB248" si="645">IF($E$6=$H$9,AV245,AP245)</f>
        <v>0</v>
      </c>
      <c r="BC245" s="187">
        <f t="shared" si="622"/>
        <v>0</v>
      </c>
      <c r="BD245" s="1123">
        <v>9</v>
      </c>
      <c r="BE245" s="164" t="str">
        <f t="shared" si="623"/>
        <v>N/A</v>
      </c>
      <c r="BF245" s="185"/>
      <c r="BG245" s="1123">
        <v>9</v>
      </c>
      <c r="BH245" s="164" t="str">
        <f t="shared" si="624"/>
        <v>N/A</v>
      </c>
      <c r="BI245" s="185"/>
      <c r="BJ245" s="1123">
        <v>9</v>
      </c>
      <c r="BK245" s="164" t="str">
        <f t="shared" si="625"/>
        <v>N/A</v>
      </c>
      <c r="BL245" s="185"/>
      <c r="BO245" s="167"/>
      <c r="BP245" s="167"/>
      <c r="BQ245" s="167" t="str">
        <f t="shared" si="551"/>
        <v/>
      </c>
      <c r="BR245" s="167">
        <f t="shared" si="605"/>
        <v>9</v>
      </c>
      <c r="BS245" s="167">
        <f t="shared" si="606"/>
        <v>9</v>
      </c>
      <c r="BT245" s="167">
        <f t="shared" si="607"/>
        <v>9</v>
      </c>
      <c r="BW245" s="193"/>
      <c r="BX245" s="193"/>
      <c r="BY245" s="193"/>
      <c r="BZ245" s="193"/>
      <c r="CA245" s="193"/>
      <c r="CB245" s="193"/>
    </row>
    <row r="246" spans="1:81" ht="15.75" thickBot="1" x14ac:dyDescent="0.3">
      <c r="A246" s="96">
        <v>238</v>
      </c>
      <c r="B246" s="96" t="s">
        <v>763</v>
      </c>
      <c r="C246" s="96" t="s">
        <v>149</v>
      </c>
      <c r="D246" s="728" t="s">
        <v>763</v>
      </c>
      <c r="E246" s="972" t="s">
        <v>994</v>
      </c>
      <c r="F246" s="771" t="s">
        <v>235</v>
      </c>
      <c r="G246" s="771" t="s">
        <v>235</v>
      </c>
      <c r="H246" s="771" t="s">
        <v>235</v>
      </c>
      <c r="I246" s="771" t="s">
        <v>235</v>
      </c>
      <c r="J246" s="771" t="s">
        <v>235</v>
      </c>
      <c r="K246" s="771" t="s">
        <v>235</v>
      </c>
      <c r="L246" s="771" t="s">
        <v>235</v>
      </c>
      <c r="M246" s="771" t="s">
        <v>235</v>
      </c>
      <c r="N246" s="771" t="s">
        <v>235</v>
      </c>
      <c r="O246" s="771" t="s">
        <v>235</v>
      </c>
      <c r="P246" s="771" t="s">
        <v>235</v>
      </c>
      <c r="Q246" s="772" t="s">
        <v>235</v>
      </c>
      <c r="R246" s="772" t="s">
        <v>235</v>
      </c>
      <c r="T246" s="221" t="str">
        <f t="shared" si="593"/>
        <v>Yes/No</v>
      </c>
      <c r="U246" s="241"/>
      <c r="V246" s="239"/>
      <c r="W246" s="167"/>
      <c r="X246" s="167"/>
      <c r="Y246" s="168"/>
      <c r="Z246" s="168"/>
      <c r="AA246" s="169"/>
      <c r="AB246" s="213" t="str">
        <f t="shared" si="594"/>
        <v>Yes/No</v>
      </c>
      <c r="AD246" s="171"/>
      <c r="AE246" s="240" t="s">
        <v>236</v>
      </c>
      <c r="AF246" s="240" t="s">
        <v>236</v>
      </c>
      <c r="AG246" s="240" t="s">
        <v>236</v>
      </c>
      <c r="AI246" s="214">
        <f>IF(VLOOKUP(E246,'Pre-Assessment Estimator'!$E$11:$AB$225,'Pre-Assessment Estimator'!$G$2,FALSE)&gt;AB246,AB246,VLOOKUP(E246,'Pre-Assessment Estimator'!$E$11:$AB$225,'Pre-Assessment Estimator'!$G$2,FALSE))</f>
        <v>0</v>
      </c>
      <c r="AJ246" s="172">
        <f>IF(VLOOKUP(E246,'Pre-Assessment Estimator'!$E$11:$AB$225,'Pre-Assessment Estimator'!$N$2,FALSE)&gt;AB246,AB246,VLOOKUP(E246,'Pre-Assessment Estimator'!$E$11:$AB$225,'Pre-Assessment Estimator'!$N$2,FALSE))</f>
        <v>0</v>
      </c>
      <c r="AK246" s="172">
        <f>IF(VLOOKUP(E246,'Pre-Assessment Estimator'!$E$11:$AB$225,'Pre-Assessment Estimator'!$U$2,FALSE)&gt;AB246,AB246,VLOOKUP(E246,'Pre-Assessment Estimator'!$E$11:$AB$225,'Pre-Assessment Estimator'!$U$2,FALSE))</f>
        <v>0</v>
      </c>
      <c r="AM246" s="729"/>
      <c r="AN246" s="232"/>
      <c r="AO246" s="232"/>
      <c r="AP246" s="232"/>
      <c r="AQ246" s="233"/>
      <c r="AS246" s="729"/>
      <c r="AT246" s="232"/>
      <c r="AU246" s="232"/>
      <c r="AV246" s="232"/>
      <c r="AW246" s="233"/>
      <c r="AY246" s="182">
        <f t="shared" ref="AY246" si="646">IF($E$6=$H$9,AS246,AM246)</f>
        <v>0</v>
      </c>
      <c r="AZ246" s="183">
        <f t="shared" ref="AZ246" si="647">IF($E$6=$H$9,AT246,AN246)</f>
        <v>0</v>
      </c>
      <c r="BA246" s="183">
        <f t="shared" ref="BA246" si="648">IF($E$6=$H$9,AU246,AO246)</f>
        <v>0</v>
      </c>
      <c r="BB246" s="183">
        <f t="shared" ref="BB246" si="649">IF($E$6=$H$9,AV246,AP246)</f>
        <v>0</v>
      </c>
      <c r="BC246" s="187">
        <f t="shared" ref="BC246" si="650">IF($E$6=$H$9,AW246,AQ246)</f>
        <v>0</v>
      </c>
      <c r="BD246" s="1123">
        <v>9</v>
      </c>
      <c r="BE246" s="164" t="str">
        <f t="shared" si="623"/>
        <v>N/A</v>
      </c>
      <c r="BF246" s="185"/>
      <c r="BG246" s="1123">
        <v>9</v>
      </c>
      <c r="BH246" s="164" t="str">
        <f t="shared" si="624"/>
        <v>N/A</v>
      </c>
      <c r="BI246" s="185"/>
      <c r="BJ246" s="1123">
        <v>9</v>
      </c>
      <c r="BK246" s="164" t="str">
        <f t="shared" si="625"/>
        <v>N/A</v>
      </c>
      <c r="BL246" s="185"/>
      <c r="BO246" s="167"/>
      <c r="BP246" s="167"/>
      <c r="BQ246" s="167" t="str">
        <f t="shared" si="551"/>
        <v/>
      </c>
      <c r="BR246" s="167">
        <f t="shared" si="605"/>
        <v>9</v>
      </c>
      <c r="BS246" s="167">
        <f t="shared" si="606"/>
        <v>9</v>
      </c>
      <c r="BT246" s="167">
        <f t="shared" si="607"/>
        <v>9</v>
      </c>
      <c r="BW246" s="193"/>
      <c r="BX246" s="193"/>
      <c r="BY246" s="193"/>
      <c r="BZ246" s="193"/>
      <c r="CA246" s="193"/>
      <c r="CB246" s="193"/>
    </row>
    <row r="247" spans="1:81" ht="15.75" thickBot="1" x14ac:dyDescent="0.3">
      <c r="A247" s="96">
        <v>239</v>
      </c>
      <c r="B247" s="96" t="s">
        <v>812</v>
      </c>
      <c r="C247" s="96" t="s">
        <v>482</v>
      </c>
      <c r="D247" s="731" t="s">
        <v>812</v>
      </c>
      <c r="E247" s="972" t="s">
        <v>992</v>
      </c>
      <c r="F247" s="771" t="s">
        <v>235</v>
      </c>
      <c r="G247" s="771" t="s">
        <v>235</v>
      </c>
      <c r="H247" s="771" t="s">
        <v>235</v>
      </c>
      <c r="I247" s="771" t="s">
        <v>235</v>
      </c>
      <c r="J247" s="771" t="s">
        <v>235</v>
      </c>
      <c r="K247" s="771" t="s">
        <v>235</v>
      </c>
      <c r="L247" s="771" t="s">
        <v>235</v>
      </c>
      <c r="M247" s="771" t="s">
        <v>235</v>
      </c>
      <c r="N247" s="771" t="s">
        <v>235</v>
      </c>
      <c r="O247" s="771" t="s">
        <v>235</v>
      </c>
      <c r="P247" s="771" t="s">
        <v>235</v>
      </c>
      <c r="Q247" s="772" t="s">
        <v>235</v>
      </c>
      <c r="R247" s="772" t="s">
        <v>235</v>
      </c>
      <c r="T247" s="221" t="str">
        <f t="shared" si="593"/>
        <v>Yes/No</v>
      </c>
      <c r="U247" s="241"/>
      <c r="V247" s="239"/>
      <c r="W247" s="167"/>
      <c r="X247" s="167"/>
      <c r="Y247" s="168"/>
      <c r="Z247" s="168"/>
      <c r="AA247" s="169"/>
      <c r="AB247" s="213" t="str">
        <f t="shared" si="594"/>
        <v>Yes/No</v>
      </c>
      <c r="AD247" s="171"/>
      <c r="AE247" s="240" t="s">
        <v>236</v>
      </c>
      <c r="AF247" s="240" t="s">
        <v>236</v>
      </c>
      <c r="AG247" s="240" t="s">
        <v>236</v>
      </c>
      <c r="AI247" s="214">
        <f>IF(VLOOKUP(E247,'Pre-Assessment Estimator'!$E$11:$AB$225,'Pre-Assessment Estimator'!$G$2,FALSE)&gt;AB247,AB247,VLOOKUP(E247,'Pre-Assessment Estimator'!$E$11:$AB$225,'Pre-Assessment Estimator'!$G$2,FALSE))</f>
        <v>0</v>
      </c>
      <c r="AJ247" s="172">
        <f>IF(VLOOKUP(E247,'Pre-Assessment Estimator'!$E$11:$AB$225,'Pre-Assessment Estimator'!$N$2,FALSE)&gt;AB247,AB247,VLOOKUP(E247,'Pre-Assessment Estimator'!$E$11:$AB$225,'Pre-Assessment Estimator'!$N$2,FALSE))</f>
        <v>0</v>
      </c>
      <c r="AK247" s="172">
        <f>IF(VLOOKUP(E247,'Pre-Assessment Estimator'!$E$11:$AB$225,'Pre-Assessment Estimator'!$U$2,FALSE)&gt;AB247,AB247,VLOOKUP(E247,'Pre-Assessment Estimator'!$E$11:$AB$225,'Pre-Assessment Estimator'!$U$2,FALSE))</f>
        <v>0</v>
      </c>
      <c r="AM247" s="729"/>
      <c r="AN247" s="232"/>
      <c r="AO247" s="232"/>
      <c r="AP247" s="232"/>
      <c r="AQ247" s="233"/>
      <c r="AS247" s="729"/>
      <c r="AT247" s="232"/>
      <c r="AU247" s="232"/>
      <c r="AV247" s="232"/>
      <c r="AW247" s="233"/>
      <c r="AY247" s="182">
        <f t="shared" si="642"/>
        <v>0</v>
      </c>
      <c r="AZ247" s="183">
        <f t="shared" si="643"/>
        <v>0</v>
      </c>
      <c r="BA247" s="183">
        <f t="shared" si="644"/>
        <v>0</v>
      </c>
      <c r="BB247" s="183">
        <f t="shared" si="645"/>
        <v>0</v>
      </c>
      <c r="BC247" s="187">
        <f t="shared" si="622"/>
        <v>0</v>
      </c>
      <c r="BD247" s="1123">
        <v>9</v>
      </c>
      <c r="BE247" s="164" t="str">
        <f t="shared" si="623"/>
        <v>N/A</v>
      </c>
      <c r="BF247" s="185"/>
      <c r="BG247" s="1123">
        <v>9</v>
      </c>
      <c r="BH247" s="164" t="str">
        <f t="shared" si="624"/>
        <v>N/A</v>
      </c>
      <c r="BI247" s="185"/>
      <c r="BJ247" s="1123">
        <v>9</v>
      </c>
      <c r="BK247" s="164" t="str">
        <f t="shared" si="625"/>
        <v>N/A</v>
      </c>
      <c r="BL247" s="185"/>
      <c r="BO247" s="167"/>
      <c r="BP247" s="167"/>
      <c r="BQ247" s="167" t="str">
        <f t="shared" si="551"/>
        <v/>
      </c>
      <c r="BR247" s="167">
        <f t="shared" si="605"/>
        <v>9</v>
      </c>
      <c r="BS247" s="167">
        <f t="shared" si="606"/>
        <v>9</v>
      </c>
      <c r="BT247" s="167">
        <f t="shared" si="607"/>
        <v>9</v>
      </c>
      <c r="BW247" s="193"/>
      <c r="BX247" s="193"/>
      <c r="BY247" s="193"/>
      <c r="BZ247" s="193"/>
      <c r="CA247" s="193"/>
      <c r="CB247" s="193"/>
    </row>
    <row r="248" spans="1:81" ht="15.75" thickBot="1" x14ac:dyDescent="0.3">
      <c r="A248" s="96">
        <v>240</v>
      </c>
      <c r="B248" s="96" t="s">
        <v>814</v>
      </c>
      <c r="C248" s="96" t="s">
        <v>483</v>
      </c>
      <c r="D248" s="731" t="s">
        <v>814</v>
      </c>
      <c r="E248" s="972" t="s">
        <v>993</v>
      </c>
      <c r="F248" s="771" t="s">
        <v>235</v>
      </c>
      <c r="G248" s="771" t="s">
        <v>235</v>
      </c>
      <c r="H248" s="771" t="s">
        <v>235</v>
      </c>
      <c r="I248" s="771" t="s">
        <v>235</v>
      </c>
      <c r="J248" s="771" t="s">
        <v>235</v>
      </c>
      <c r="K248" s="771" t="s">
        <v>235</v>
      </c>
      <c r="L248" s="771" t="s">
        <v>235</v>
      </c>
      <c r="M248" s="771" t="s">
        <v>235</v>
      </c>
      <c r="N248" s="771" t="s">
        <v>235</v>
      </c>
      <c r="O248" s="771" t="s">
        <v>235</v>
      </c>
      <c r="P248" s="771" t="s">
        <v>235</v>
      </c>
      <c r="Q248" s="772" t="s">
        <v>235</v>
      </c>
      <c r="R248" s="772" t="s">
        <v>235</v>
      </c>
      <c r="T248" s="221" t="str">
        <f t="shared" si="593"/>
        <v>Yes/No</v>
      </c>
      <c r="U248" s="241"/>
      <c r="V248" s="239"/>
      <c r="W248" s="167"/>
      <c r="X248" s="167"/>
      <c r="Y248" s="168"/>
      <c r="Z248" s="168"/>
      <c r="AA248" s="169"/>
      <c r="AB248" s="213" t="str">
        <f t="shared" si="594"/>
        <v>Yes/No</v>
      </c>
      <c r="AD248" s="171"/>
      <c r="AE248" s="240" t="s">
        <v>236</v>
      </c>
      <c r="AF248" s="240" t="s">
        <v>236</v>
      </c>
      <c r="AG248" s="240" t="s">
        <v>236</v>
      </c>
      <c r="AI248" s="214">
        <f>IF(VLOOKUP(E248,'Pre-Assessment Estimator'!$E$11:$AB$225,'Pre-Assessment Estimator'!$G$2,FALSE)&gt;AB248,AB248,VLOOKUP(E248,'Pre-Assessment Estimator'!$E$11:$AB$225,'Pre-Assessment Estimator'!$G$2,FALSE))</f>
        <v>0</v>
      </c>
      <c r="AJ248" s="172">
        <f>IF(VLOOKUP(E248,'Pre-Assessment Estimator'!$E$11:$AB$225,'Pre-Assessment Estimator'!$N$2,FALSE)&gt;AB248,AB248,VLOOKUP(E248,'Pre-Assessment Estimator'!$E$11:$AB$225,'Pre-Assessment Estimator'!$N$2,FALSE))</f>
        <v>0</v>
      </c>
      <c r="AK248" s="172">
        <f>IF(VLOOKUP(E248,'Pre-Assessment Estimator'!$E$11:$AB$225,'Pre-Assessment Estimator'!$U$2,FALSE)&gt;AB248,AB248,VLOOKUP(E248,'Pre-Assessment Estimator'!$E$11:$AB$225,'Pre-Assessment Estimator'!$U$2,FALSE))</f>
        <v>0</v>
      </c>
      <c r="AM248" s="729"/>
      <c r="AN248" s="232"/>
      <c r="AO248" s="232"/>
      <c r="AP248" s="232"/>
      <c r="AQ248" s="233"/>
      <c r="AS248" s="729"/>
      <c r="AT248" s="232"/>
      <c r="AU248" s="232"/>
      <c r="AV248" s="232"/>
      <c r="AW248" s="233"/>
      <c r="AY248" s="182">
        <f t="shared" si="642"/>
        <v>0</v>
      </c>
      <c r="AZ248" s="183">
        <f t="shared" si="643"/>
        <v>0</v>
      </c>
      <c r="BA248" s="183">
        <f t="shared" si="644"/>
        <v>0</v>
      </c>
      <c r="BB248" s="183">
        <f t="shared" si="645"/>
        <v>0</v>
      </c>
      <c r="BC248" s="187">
        <f t="shared" si="622"/>
        <v>0</v>
      </c>
      <c r="BD248" s="1123">
        <v>9</v>
      </c>
      <c r="BE248" s="164" t="str">
        <f t="shared" si="623"/>
        <v>N/A</v>
      </c>
      <c r="BF248" s="185"/>
      <c r="BG248" s="1123">
        <v>9</v>
      </c>
      <c r="BH248" s="164" t="str">
        <f t="shared" si="624"/>
        <v>N/A</v>
      </c>
      <c r="BI248" s="185"/>
      <c r="BJ248" s="1123">
        <v>9</v>
      </c>
      <c r="BK248" s="164" t="str">
        <f t="shared" si="625"/>
        <v>N/A</v>
      </c>
      <c r="BL248" s="185"/>
      <c r="BO248" s="167"/>
      <c r="BP248" s="167"/>
      <c r="BQ248" s="167" t="str">
        <f t="shared" si="551"/>
        <v/>
      </c>
      <c r="BR248" s="167">
        <f t="shared" si="605"/>
        <v>9</v>
      </c>
      <c r="BS248" s="167">
        <f t="shared" si="606"/>
        <v>9</v>
      </c>
      <c r="BT248" s="167">
        <f t="shared" si="607"/>
        <v>9</v>
      </c>
      <c r="BW248" s="193"/>
      <c r="BX248" s="193"/>
      <c r="BY248" s="193"/>
      <c r="BZ248" s="193"/>
      <c r="CA248" s="193"/>
      <c r="CB248" s="193"/>
    </row>
    <row r="249" spans="1:81" ht="15.75" thickBot="1" x14ac:dyDescent="0.3">
      <c r="A249" s="96">
        <v>241</v>
      </c>
      <c r="B249" s="96" t="s">
        <v>897</v>
      </c>
      <c r="C249" s="96" t="s">
        <v>382</v>
      </c>
      <c r="D249" s="731" t="s">
        <v>897</v>
      </c>
      <c r="E249" s="1158" t="s">
        <v>995</v>
      </c>
      <c r="F249" s="771" t="s">
        <v>235</v>
      </c>
      <c r="G249" s="771" t="s">
        <v>235</v>
      </c>
      <c r="H249" s="771" t="s">
        <v>235</v>
      </c>
      <c r="I249" s="771" t="s">
        <v>235</v>
      </c>
      <c r="J249" s="771" t="s">
        <v>235</v>
      </c>
      <c r="K249" s="771" t="s">
        <v>235</v>
      </c>
      <c r="L249" s="771" t="s">
        <v>235</v>
      </c>
      <c r="M249" s="771" t="s">
        <v>235</v>
      </c>
      <c r="N249" s="771" t="s">
        <v>235</v>
      </c>
      <c r="O249" s="771" t="s">
        <v>235</v>
      </c>
      <c r="P249" s="771" t="s">
        <v>235</v>
      </c>
      <c r="Q249" s="772" t="s">
        <v>235</v>
      </c>
      <c r="R249" s="772" t="s">
        <v>235</v>
      </c>
      <c r="T249" s="221" t="str">
        <f t="shared" si="593"/>
        <v>Yes/No</v>
      </c>
      <c r="U249" s="241"/>
      <c r="V249" s="239"/>
      <c r="W249" s="167"/>
      <c r="X249" s="167"/>
      <c r="Y249" s="168"/>
      <c r="Z249" s="168"/>
      <c r="AA249" s="169"/>
      <c r="AB249" s="1023">
        <f>IF('Assessment Details'!F24=AD_Yes,Poeng!T249,0)</f>
        <v>0</v>
      </c>
      <c r="AD249" s="171"/>
      <c r="AE249" s="240" t="s">
        <v>236</v>
      </c>
      <c r="AF249" s="240" t="s">
        <v>236</v>
      </c>
      <c r="AG249" s="240" t="s">
        <v>236</v>
      </c>
      <c r="AI249" s="214">
        <f>IF(VLOOKUP(E249,'Pre-Assessment Estimator'!$E$11:$AB$225,'Pre-Assessment Estimator'!$G$2,FALSE)&gt;AB249,AB249,VLOOKUP(E249,'Pre-Assessment Estimator'!$E$11:$AB$225,'Pre-Assessment Estimator'!$G$2,FALSE))</f>
        <v>0</v>
      </c>
      <c r="AJ249" s="172">
        <f>IF(VLOOKUP(E249,'Pre-Assessment Estimator'!$E$11:$AB$225,'Pre-Assessment Estimator'!$N$2,FALSE)&gt;AB249,AB249,VLOOKUP(E249,'Pre-Assessment Estimator'!$E$11:$AB$225,'Pre-Assessment Estimator'!$N$2,FALSE))</f>
        <v>0</v>
      </c>
      <c r="AK249" s="172">
        <f>IF(VLOOKUP(E249,'Pre-Assessment Estimator'!$E$11:$AB$225,'Pre-Assessment Estimator'!$U$2,FALSE)&gt;AB249,AB249,VLOOKUP(E249,'Pre-Assessment Estimator'!$E$11:$AB$225,'Pre-Assessment Estimator'!$U$2,FALSE))</f>
        <v>0</v>
      </c>
      <c r="AM249" s="729"/>
      <c r="AN249" s="232"/>
      <c r="AO249" s="232"/>
      <c r="AP249" s="232"/>
      <c r="AQ249" s="233"/>
      <c r="AS249" s="729"/>
      <c r="AT249" s="232"/>
      <c r="AU249" s="232"/>
      <c r="AV249" s="232"/>
      <c r="AW249" s="233"/>
      <c r="AY249" s="182">
        <f t="shared" ref="AY249:AY252" si="651">IF($E$6=$H$9,AS249,AM249)</f>
        <v>0</v>
      </c>
      <c r="AZ249" s="183">
        <f t="shared" ref="AZ249:AZ252" si="652">IF($E$6=$H$9,AT249,AN249)</f>
        <v>0</v>
      </c>
      <c r="BA249" s="183">
        <f t="shared" ref="BA249:BA252" si="653">IF($E$6=$H$9,AU249,AO249)</f>
        <v>0</v>
      </c>
      <c r="BB249" s="183">
        <f t="shared" ref="BB249:BB252" si="654">IF($E$6=$H$9,AV249,AP249)</f>
        <v>0</v>
      </c>
      <c r="BC249" s="187">
        <f t="shared" ref="BC249:BC252" si="655">IF($E$6=$H$9,AW249,AQ249)</f>
        <v>0</v>
      </c>
      <c r="BD249" s="1123">
        <v>9</v>
      </c>
      <c r="BE249" s="164" t="str">
        <f t="shared" si="623"/>
        <v>N/A</v>
      </c>
      <c r="BF249" s="185"/>
      <c r="BG249" s="1123">
        <v>9</v>
      </c>
      <c r="BH249" s="164" t="str">
        <f t="shared" si="624"/>
        <v>N/A</v>
      </c>
      <c r="BI249" s="185"/>
      <c r="BJ249" s="1123">
        <v>9</v>
      </c>
      <c r="BK249" s="164" t="str">
        <f t="shared" si="625"/>
        <v>N/A</v>
      </c>
      <c r="BL249" s="1013"/>
      <c r="BO249" s="167"/>
      <c r="BP249" s="167"/>
      <c r="BQ249" s="167" t="str">
        <f t="shared" si="551"/>
        <v/>
      </c>
      <c r="BR249" s="167">
        <f t="shared" si="605"/>
        <v>9</v>
      </c>
      <c r="BS249" s="167">
        <f t="shared" si="606"/>
        <v>9</v>
      </c>
      <c r="BT249" s="167">
        <f t="shared" si="607"/>
        <v>9</v>
      </c>
      <c r="BW249" s="193"/>
      <c r="BX249" s="193"/>
      <c r="BY249" s="193"/>
      <c r="BZ249" s="193"/>
      <c r="CA249" s="193"/>
      <c r="CB249" s="193"/>
    </row>
    <row r="250" spans="1:81" ht="15.75" thickBot="1" x14ac:dyDescent="0.3">
      <c r="A250" s="96">
        <v>242</v>
      </c>
      <c r="B250" s="96" t="s">
        <v>1037</v>
      </c>
      <c r="C250" s="96" t="s">
        <v>177</v>
      </c>
      <c r="D250" s="731" t="s">
        <v>1037</v>
      </c>
      <c r="E250" s="1158" t="s">
        <v>1069</v>
      </c>
      <c r="F250" s="771" t="s">
        <v>235</v>
      </c>
      <c r="G250" s="771" t="s">
        <v>235</v>
      </c>
      <c r="H250" s="771" t="s">
        <v>235</v>
      </c>
      <c r="I250" s="771" t="s">
        <v>235</v>
      </c>
      <c r="J250" s="771" t="s">
        <v>235</v>
      </c>
      <c r="K250" s="771" t="s">
        <v>235</v>
      </c>
      <c r="L250" s="771" t="s">
        <v>235</v>
      </c>
      <c r="M250" s="771" t="s">
        <v>235</v>
      </c>
      <c r="N250" s="771" t="s">
        <v>235</v>
      </c>
      <c r="O250" s="771" t="s">
        <v>235</v>
      </c>
      <c r="P250" s="771" t="s">
        <v>235</v>
      </c>
      <c r="Q250" s="772" t="s">
        <v>235</v>
      </c>
      <c r="R250" s="772" t="s">
        <v>235</v>
      </c>
      <c r="T250" s="221" t="str">
        <f t="shared" si="593"/>
        <v>Yes/No</v>
      </c>
      <c r="U250" s="241"/>
      <c r="V250" s="239"/>
      <c r="W250" s="167"/>
      <c r="X250" s="167"/>
      <c r="Y250" s="168"/>
      <c r="Z250" s="168"/>
      <c r="AA250" s="169"/>
      <c r="AB250" s="1023" t="str">
        <f>IF(AB145=0,0,T250)</f>
        <v>Yes/No</v>
      </c>
      <c r="AD250" s="171"/>
      <c r="AE250" s="240" t="s">
        <v>236</v>
      </c>
      <c r="AF250" s="240" t="s">
        <v>236</v>
      </c>
      <c r="AG250" s="240" t="s">
        <v>236</v>
      </c>
      <c r="AI250" s="214">
        <f>IF(VLOOKUP(E250,'Pre-Assessment Estimator'!$E$11:$AB$225,'Pre-Assessment Estimator'!$G$2,FALSE)&gt;AB250,AB250,VLOOKUP(E250,'Pre-Assessment Estimator'!$E$11:$AB$225,'Pre-Assessment Estimator'!$G$2,FALSE))</f>
        <v>0</v>
      </c>
      <c r="AJ250" s="172">
        <f>IF(VLOOKUP(E250,'Pre-Assessment Estimator'!$E$11:$AB$225,'Pre-Assessment Estimator'!$N$2,FALSE)&gt;AB250,AB250,VLOOKUP(E250,'Pre-Assessment Estimator'!$E$11:$AB$225,'Pre-Assessment Estimator'!$N$2,FALSE))</f>
        <v>0</v>
      </c>
      <c r="AK250" s="172">
        <f>IF(VLOOKUP(E250,'Pre-Assessment Estimator'!$E$11:$AB$225,'Pre-Assessment Estimator'!$U$2,FALSE)&gt;AB250,AB250,VLOOKUP(E250,'Pre-Assessment Estimator'!$E$11:$AB$225,'Pre-Assessment Estimator'!$U$2,FALSE))</f>
        <v>0</v>
      </c>
      <c r="AM250" s="729" t="s">
        <v>12</v>
      </c>
      <c r="AN250" s="232" t="s">
        <v>12</v>
      </c>
      <c r="AO250" s="232" t="s">
        <v>12</v>
      </c>
      <c r="AP250" s="232" t="s">
        <v>12</v>
      </c>
      <c r="AQ250" s="233" t="s">
        <v>12</v>
      </c>
      <c r="AS250" s="729" t="s">
        <v>12</v>
      </c>
      <c r="AT250" s="232" t="s">
        <v>12</v>
      </c>
      <c r="AU250" s="232" t="s">
        <v>12</v>
      </c>
      <c r="AV250" s="232" t="s">
        <v>12</v>
      </c>
      <c r="AW250" s="233" t="s">
        <v>12</v>
      </c>
      <c r="AY250" s="182" t="str">
        <f t="shared" ref="AY250" si="656">IF($E$6=$H$9,AS250,AM250)</f>
        <v>Yes</v>
      </c>
      <c r="AZ250" s="183" t="str">
        <f t="shared" ref="AZ250" si="657">IF($E$6=$H$9,AT250,AN250)</f>
        <v>Yes</v>
      </c>
      <c r="BA250" s="183" t="str">
        <f t="shared" ref="BA250" si="658">IF($E$6=$H$9,AU250,AO250)</f>
        <v>Yes</v>
      </c>
      <c r="BB250" s="183" t="str">
        <f t="shared" ref="BB250" si="659">IF($E$6=$H$9,AV250,AP250)</f>
        <v>Yes</v>
      </c>
      <c r="BC250" s="187" t="str">
        <f t="shared" ref="BC250" si="660">IF($E$6=$H$9,AW250,AQ250)</f>
        <v>Yes</v>
      </c>
      <c r="BD250" s="1005">
        <f>BD145</f>
        <v>0</v>
      </c>
      <c r="BE250" s="164" t="str">
        <f t="shared" si="623"/>
        <v>Unclassified</v>
      </c>
      <c r="BF250" s="185"/>
      <c r="BG250" s="1005">
        <f>BG145</f>
        <v>0</v>
      </c>
      <c r="BH250" s="164" t="str">
        <f t="shared" si="624"/>
        <v>Unclassified</v>
      </c>
      <c r="BI250" s="185"/>
      <c r="BJ250" s="1005">
        <f>BJ145</f>
        <v>0</v>
      </c>
      <c r="BK250" s="164" t="str">
        <f t="shared" si="625"/>
        <v>Unclassified</v>
      </c>
      <c r="BL250" s="1013"/>
      <c r="BO250" s="167"/>
      <c r="BP250" s="167"/>
      <c r="BQ250" s="167"/>
      <c r="BR250" s="167">
        <f t="shared" ref="BR250" si="661">IF(BQ250="",9,(IF(AI250=AD_Yes,5,0)))</f>
        <v>9</v>
      </c>
      <c r="BS250" s="167">
        <f t="shared" ref="BS250" si="662">IF(BQ250="",9,(IF(AJ250=AD_Yes,5,0)))</f>
        <v>9</v>
      </c>
      <c r="BT250" s="167">
        <f t="shared" ref="BT250" si="663">IF(BQ250="",9,(IF(AK250=AD_Yes,5,0)))</f>
        <v>9</v>
      </c>
      <c r="BW250" s="193"/>
      <c r="BX250" s="193"/>
      <c r="BY250" s="193"/>
      <c r="BZ250" s="193"/>
      <c r="CA250" s="193"/>
      <c r="CB250" s="193"/>
    </row>
    <row r="251" spans="1:81" ht="15.75" thickBot="1" x14ac:dyDescent="0.3">
      <c r="A251" s="96">
        <v>243</v>
      </c>
      <c r="B251" s="96" t="s">
        <v>988</v>
      </c>
      <c r="C251" s="96" t="s">
        <v>178</v>
      </c>
      <c r="D251" s="731" t="s">
        <v>988</v>
      </c>
      <c r="E251" s="1254" t="s">
        <v>1066</v>
      </c>
      <c r="F251" s="771" t="s">
        <v>235</v>
      </c>
      <c r="G251" s="771" t="s">
        <v>235</v>
      </c>
      <c r="H251" s="771" t="s">
        <v>235</v>
      </c>
      <c r="I251" s="771" t="s">
        <v>235</v>
      </c>
      <c r="J251" s="771" t="s">
        <v>235</v>
      </c>
      <c r="K251" s="771" t="s">
        <v>235</v>
      </c>
      <c r="L251" s="771" t="s">
        <v>235</v>
      </c>
      <c r="M251" s="771" t="s">
        <v>235</v>
      </c>
      <c r="N251" s="771" t="s">
        <v>235</v>
      </c>
      <c r="O251" s="771" t="s">
        <v>235</v>
      </c>
      <c r="P251" s="771" t="s">
        <v>235</v>
      </c>
      <c r="Q251" s="772" t="s">
        <v>235</v>
      </c>
      <c r="R251" s="772" t="s">
        <v>235</v>
      </c>
      <c r="T251" s="221" t="str">
        <f t="shared" si="593"/>
        <v>Yes/No</v>
      </c>
      <c r="U251" s="241"/>
      <c r="V251" s="239"/>
      <c r="W251" s="167"/>
      <c r="X251" s="167"/>
      <c r="Y251" s="168"/>
      <c r="Z251" s="168"/>
      <c r="AA251" s="169"/>
      <c r="AB251" s="213" t="str">
        <f>T251</f>
        <v>Yes/No</v>
      </c>
      <c r="AD251" s="171"/>
      <c r="AE251" s="240" t="s">
        <v>236</v>
      </c>
      <c r="AF251" s="240" t="s">
        <v>236</v>
      </c>
      <c r="AG251" s="240" t="s">
        <v>236</v>
      </c>
      <c r="AI251" s="214">
        <f>IF(VLOOKUP(E251,'Pre-Assessment Estimator'!$E$11:$AB$225,'Pre-Assessment Estimator'!$G$2,FALSE)&gt;AB251,AB251,VLOOKUP(E251,'Pre-Assessment Estimator'!$E$11:$AB$225,'Pre-Assessment Estimator'!$G$2,FALSE))</f>
        <v>0</v>
      </c>
      <c r="AJ251" s="172">
        <f>IF(VLOOKUP(E251,'Pre-Assessment Estimator'!$E$11:$AB$225,'Pre-Assessment Estimator'!$N$2,FALSE)&gt;AB251,AB251,VLOOKUP(E251,'Pre-Assessment Estimator'!$E$11:$AB$225,'Pre-Assessment Estimator'!$N$2,FALSE))</f>
        <v>0</v>
      </c>
      <c r="AK251" s="172">
        <f>IF(VLOOKUP(E251,'Pre-Assessment Estimator'!$E$11:$AB$225,'Pre-Assessment Estimator'!$U$2,FALSE)&gt;AB251,AB251,VLOOKUP(E251,'Pre-Assessment Estimator'!$E$11:$AB$225,'Pre-Assessment Estimator'!$U$2,FALSE))</f>
        <v>0</v>
      </c>
      <c r="AM251" s="729" t="s">
        <v>12</v>
      </c>
      <c r="AN251" s="232" t="s">
        <v>12</v>
      </c>
      <c r="AO251" s="232" t="s">
        <v>12</v>
      </c>
      <c r="AP251" s="232"/>
      <c r="AQ251" s="233"/>
      <c r="AS251" s="729" t="s">
        <v>12</v>
      </c>
      <c r="AT251" s="232" t="s">
        <v>12</v>
      </c>
      <c r="AU251" s="232" t="s">
        <v>12</v>
      </c>
      <c r="AV251" s="232"/>
      <c r="AW251" s="233"/>
      <c r="AY251" s="182" t="str">
        <f t="shared" si="651"/>
        <v>Yes</v>
      </c>
      <c r="AZ251" s="183" t="str">
        <f t="shared" si="652"/>
        <v>Yes</v>
      </c>
      <c r="BA251" s="183" t="str">
        <f t="shared" si="653"/>
        <v>Yes</v>
      </c>
      <c r="BB251" s="183">
        <f t="shared" si="654"/>
        <v>0</v>
      </c>
      <c r="BC251" s="187">
        <f t="shared" si="655"/>
        <v>0</v>
      </c>
      <c r="BD251" s="1190">
        <f>VLOOKUP(BE251,BQ261:BR266,2)</f>
        <v>5</v>
      </c>
      <c r="BE251" s="1156" t="str">
        <f>BE158</f>
        <v>Unclassified</v>
      </c>
      <c r="BF251" s="1155">
        <f>IF(AI251="Yes",3,0)</f>
        <v>0</v>
      </c>
      <c r="BG251" s="673">
        <f>VLOOKUP(BH251,BQ261:BR266,2)</f>
        <v>5</v>
      </c>
      <c r="BH251" s="1156" t="str">
        <f>BH158</f>
        <v>Unclassified</v>
      </c>
      <c r="BI251" s="1155">
        <f>IF(AJ251="Yes",3,0)</f>
        <v>0</v>
      </c>
      <c r="BJ251" s="673">
        <f>VLOOKUP(BK251,BQ261:BR266,2)</f>
        <v>5</v>
      </c>
      <c r="BK251" s="1156" t="str">
        <f>BK158</f>
        <v>Unclassified</v>
      </c>
      <c r="BL251" s="1155">
        <f>IF(AK251="Yes",3,0)</f>
        <v>0</v>
      </c>
      <c r="BO251" s="167"/>
      <c r="BP251" s="189" t="s">
        <v>12</v>
      </c>
      <c r="BQ251" s="167" t="str">
        <f t="shared" si="551"/>
        <v>Yes</v>
      </c>
      <c r="BR251" s="167">
        <f>IF(BQ251="",9,(IF(AI251=AD_Yes,5,0)))</f>
        <v>0</v>
      </c>
      <c r="BS251" s="167">
        <f t="shared" ref="BS251" si="664">IF(BQ251="",9,(IF(AJ251=AD_Yes,5,0)))</f>
        <v>0</v>
      </c>
      <c r="BT251" s="167">
        <f t="shared" ref="BT251" si="665">IF(BQ251="",9,(IF(AK251=AD_Yes,5,0)))</f>
        <v>0</v>
      </c>
      <c r="BW251" s="193"/>
      <c r="BX251" s="193"/>
      <c r="BY251" s="193"/>
      <c r="BZ251" s="193"/>
      <c r="CA251" s="193"/>
      <c r="CB251" s="193"/>
    </row>
    <row r="252" spans="1:81" ht="15.75" thickBot="1" x14ac:dyDescent="0.3">
      <c r="A252" s="96">
        <v>244</v>
      </c>
      <c r="B252" s="96" t="s">
        <v>989</v>
      </c>
      <c r="C252" s="96" t="s">
        <v>181</v>
      </c>
      <c r="D252" s="194" t="s">
        <v>989</v>
      </c>
      <c r="E252" s="1254" t="s">
        <v>1061</v>
      </c>
      <c r="F252" s="771" t="s">
        <v>235</v>
      </c>
      <c r="G252" s="771" t="s">
        <v>235</v>
      </c>
      <c r="H252" s="771" t="s">
        <v>235</v>
      </c>
      <c r="I252" s="771" t="s">
        <v>235</v>
      </c>
      <c r="J252" s="771" t="s">
        <v>235</v>
      </c>
      <c r="K252" s="771" t="s">
        <v>235</v>
      </c>
      <c r="L252" s="771" t="s">
        <v>235</v>
      </c>
      <c r="M252" s="771" t="s">
        <v>235</v>
      </c>
      <c r="N252" s="771" t="s">
        <v>235</v>
      </c>
      <c r="O252" s="771" t="s">
        <v>235</v>
      </c>
      <c r="P252" s="771" t="s">
        <v>235</v>
      </c>
      <c r="Q252" s="772" t="s">
        <v>235</v>
      </c>
      <c r="R252" s="772" t="s">
        <v>235</v>
      </c>
      <c r="T252" s="221" t="str">
        <f t="shared" si="593"/>
        <v>Yes/No</v>
      </c>
      <c r="U252" s="241"/>
      <c r="V252" s="239"/>
      <c r="W252" s="167"/>
      <c r="X252" s="167"/>
      <c r="Y252" s="168"/>
      <c r="Z252" s="168"/>
      <c r="AA252" s="169"/>
      <c r="AB252" s="213" t="str">
        <f>T252</f>
        <v>Yes/No</v>
      </c>
      <c r="AD252" s="171"/>
      <c r="AE252" s="240" t="s">
        <v>236</v>
      </c>
      <c r="AF252" s="240" t="s">
        <v>236</v>
      </c>
      <c r="AG252" s="240" t="s">
        <v>236</v>
      </c>
      <c r="AI252" s="214">
        <f>IF(VLOOKUP(E252,'Pre-Assessment Estimator'!$E$11:$AB$225,'Pre-Assessment Estimator'!$G$2,FALSE)&gt;AB252,AB252,VLOOKUP(E252,'Pre-Assessment Estimator'!$E$11:$AB$225,'Pre-Assessment Estimator'!$G$2,FALSE))</f>
        <v>0</v>
      </c>
      <c r="AJ252" s="172">
        <f>IF(VLOOKUP(E252,'Pre-Assessment Estimator'!$E$11:$AB$225,'Pre-Assessment Estimator'!$N$2,FALSE)&gt;AB252,AB252,VLOOKUP(E252,'Pre-Assessment Estimator'!$E$11:$AB$225,'Pre-Assessment Estimator'!$N$2,FALSE))</f>
        <v>0</v>
      </c>
      <c r="AK252" s="172">
        <f>IF(VLOOKUP(E252,'Pre-Assessment Estimator'!$E$11:$AB$225,'Pre-Assessment Estimator'!$U$2,FALSE)&gt;AB252,AB252,VLOOKUP(E252,'Pre-Assessment Estimator'!$E$11:$AB$225,'Pre-Assessment Estimator'!$U$2,FALSE))</f>
        <v>0</v>
      </c>
      <c r="AM252" s="309"/>
      <c r="AN252" s="310"/>
      <c r="AO252" s="310"/>
      <c r="AP252" s="310" t="s">
        <v>12</v>
      </c>
      <c r="AQ252" s="311" t="s">
        <v>12</v>
      </c>
      <c r="AS252" s="309"/>
      <c r="AT252" s="310"/>
      <c r="AU252" s="310"/>
      <c r="AV252" s="310" t="s">
        <v>12</v>
      </c>
      <c r="AW252" s="311" t="s">
        <v>12</v>
      </c>
      <c r="AY252" s="182">
        <f t="shared" si="651"/>
        <v>0</v>
      </c>
      <c r="AZ252" s="183">
        <f t="shared" si="652"/>
        <v>0</v>
      </c>
      <c r="BA252" s="183">
        <f t="shared" si="653"/>
        <v>0</v>
      </c>
      <c r="BB252" s="183" t="str">
        <f t="shared" si="654"/>
        <v>Yes</v>
      </c>
      <c r="BC252" s="187" t="str">
        <f t="shared" si="655"/>
        <v>Yes</v>
      </c>
      <c r="BD252" s="182">
        <f>IF(AI252="Yes",5,3)</f>
        <v>3</v>
      </c>
      <c r="BE252" s="164" t="str">
        <f t="shared" ref="BE252" si="666">VLOOKUP(BD252,$BO$283:$BT$289,6,FALSE)</f>
        <v>Very Good</v>
      </c>
      <c r="BF252" s="185"/>
      <c r="BG252" s="182">
        <f>IF(AJ252="Yes",5,3)</f>
        <v>3</v>
      </c>
      <c r="BH252" s="164" t="str">
        <f t="shared" ref="BH252" si="667">VLOOKUP(BG252,$BO$283:$BT$289,6,FALSE)</f>
        <v>Very Good</v>
      </c>
      <c r="BI252" s="185"/>
      <c r="BJ252" s="182">
        <f>IF(AK252="Yes",5,3)</f>
        <v>3</v>
      </c>
      <c r="BK252" s="164" t="str">
        <f t="shared" ref="BK252" si="668">VLOOKUP(BJ252,$BO$283:$BT$289,6,FALSE)</f>
        <v>Very Good</v>
      </c>
      <c r="BL252" s="185"/>
      <c r="BO252" s="193"/>
      <c r="BP252" s="167" t="s">
        <v>12</v>
      </c>
      <c r="BQ252" s="167" t="str">
        <f t="shared" ref="BQ252" si="669">IF(BO252&lt;&gt;"",BO252,IF(BP252&lt;&gt;"",BP252,""))</f>
        <v>Yes</v>
      </c>
      <c r="BR252" s="167">
        <f>IF(BQ252="",9,(IF(AI252=AD_Yes,5,0)))</f>
        <v>0</v>
      </c>
      <c r="BS252" s="167">
        <f>IF(BQ252="",9,(IF(AJ252=AD_Yes,5,0)))</f>
        <v>0</v>
      </c>
      <c r="BT252" s="167">
        <f>IF(BQ252="",9,(IF(AK252=AD_Yes,5,0)))</f>
        <v>0</v>
      </c>
      <c r="BW252" s="196"/>
      <c r="BX252" s="196"/>
      <c r="BY252" s="196">
        <f>IFERROR(VLOOKUP($E252,'Pre-Assessment Estimator'!$E$11:$AI$225,'Pre-Assessment Estimator'!AI$2,FALSE),"")</f>
        <v>0</v>
      </c>
      <c r="BZ252" s="196" t="str">
        <f>IFERROR(VLOOKUP($BX252,$E$292:$H$325,F$290,FALSE),"")</f>
        <v/>
      </c>
      <c r="CA252" s="196" t="str">
        <f>IFERROR(VLOOKUP($BX252,$E$292:$H$325,G$290,FALSE),"")</f>
        <v/>
      </c>
      <c r="CB252" s="196"/>
      <c r="CC252" s="96" t="str">
        <f>IFERROR(VLOOKUP($BX252,$E$292:$H$325,I$290,FALSE),"")</f>
        <v/>
      </c>
    </row>
    <row r="253" spans="1:81" ht="15.75" thickBot="1" x14ac:dyDescent="0.3">
      <c r="A253" s="96">
        <v>245</v>
      </c>
      <c r="B253" s="96" t="s">
        <v>1032</v>
      </c>
      <c r="C253" s="96" t="s">
        <v>136</v>
      </c>
      <c r="D253" s="242" t="s">
        <v>1032</v>
      </c>
      <c r="E253" s="1251" t="s">
        <v>1070</v>
      </c>
      <c r="F253" s="776" t="s">
        <v>235</v>
      </c>
      <c r="G253" s="776" t="s">
        <v>235</v>
      </c>
      <c r="H253" s="776"/>
      <c r="I253" s="776" t="s">
        <v>235</v>
      </c>
      <c r="J253" s="776"/>
      <c r="K253" s="776"/>
      <c r="L253" s="776"/>
      <c r="M253" s="776"/>
      <c r="N253" s="776"/>
      <c r="O253" s="776"/>
      <c r="P253" s="776"/>
      <c r="Q253" s="776"/>
      <c r="R253" s="777"/>
      <c r="T253" s="221" t="str">
        <f>HLOOKUP($E$6,$F$9:$R$255,$A253,FALSE)</f>
        <v>Yes/No</v>
      </c>
      <c r="U253" s="241"/>
      <c r="V253" s="239"/>
      <c r="W253" s="167"/>
      <c r="X253" s="167"/>
      <c r="Y253" s="168"/>
      <c r="Z253" s="168"/>
      <c r="AA253" s="169"/>
      <c r="AB253" s="213" t="str">
        <f>T253</f>
        <v>Yes/No</v>
      </c>
      <c r="AD253" s="171"/>
      <c r="AE253" s="240" t="s">
        <v>236</v>
      </c>
      <c r="AF253" s="240" t="s">
        <v>236</v>
      </c>
      <c r="AG253" s="240" t="s">
        <v>236</v>
      </c>
      <c r="AI253" s="214">
        <f>IF(VLOOKUP(E253,'Pre-Assessment Estimator'!$E$11:$AB$225,'Pre-Assessment Estimator'!$G$2,FALSE)&gt;AB253,AB253,VLOOKUP(E253,'Pre-Assessment Estimator'!$E$11:$AB$225,'Pre-Assessment Estimator'!$G$2,FALSE))</f>
        <v>0</v>
      </c>
      <c r="AJ253" s="172">
        <f>IF(VLOOKUP(E253,'Pre-Assessment Estimator'!$E$11:$AB$225,'Pre-Assessment Estimator'!$N$2,FALSE)&gt;AB253,AB253,VLOOKUP(E253,'Pre-Assessment Estimator'!$E$11:$AB$225,'Pre-Assessment Estimator'!$N$2,FALSE))</f>
        <v>0</v>
      </c>
      <c r="AK253" s="172">
        <f>IF(VLOOKUP(E253,'Pre-Assessment Estimator'!$E$11:$AB$225,'Pre-Assessment Estimator'!$U$2,FALSE)&gt;AB253,AB253,VLOOKUP(E253,'Pre-Assessment Estimator'!$E$11:$AB$225,'Pre-Assessment Estimator'!$U$2,FALSE))</f>
        <v>0</v>
      </c>
      <c r="AM253" s="1233"/>
      <c r="AN253" s="1233"/>
      <c r="AO253" s="1233"/>
      <c r="AP253" s="1233"/>
      <c r="AQ253" s="1233"/>
      <c r="AS253" s="1233"/>
      <c r="AT253" s="1233"/>
      <c r="AU253" s="1233"/>
      <c r="AV253" s="1233"/>
      <c r="AW253" s="1233"/>
      <c r="AY253" s="236"/>
      <c r="AZ253" s="236"/>
      <c r="BA253" s="236"/>
      <c r="BB253" s="236"/>
      <c r="BC253" s="236"/>
      <c r="BD253" s="236"/>
      <c r="BE253" s="1234" t="s">
        <v>14</v>
      </c>
      <c r="BF253" s="99"/>
      <c r="BG253" s="236"/>
      <c r="BH253" s="1234" t="s">
        <v>14</v>
      </c>
      <c r="BI253" s="1234"/>
      <c r="BJ253" s="1235"/>
      <c r="BK253" s="1234" t="s">
        <v>14</v>
      </c>
      <c r="BL253" s="99"/>
      <c r="BO253" s="99"/>
      <c r="BP253" s="167" t="s">
        <v>12</v>
      </c>
      <c r="BQ253" s="167" t="str">
        <f t="shared" ref="BQ253:BQ255" si="670">IF(BO253&lt;&gt;"",BO253,IF(BP253&lt;&gt;"",BP253,""))</f>
        <v>Yes</v>
      </c>
      <c r="BR253" s="167">
        <f>IF(BQ253="",9,(IF(AI253=AD_Yes,5,0)))</f>
        <v>0</v>
      </c>
      <c r="BS253" s="167">
        <f>IF(BQ253="",9,(IF(AJ253=AD_Yes,5,0)))</f>
        <v>0</v>
      </c>
      <c r="BT253" s="167">
        <f>IF(BQ253="",9,(IF(AK253=AD_Yes,5,0)))</f>
        <v>0</v>
      </c>
      <c r="BW253" s="242"/>
      <c r="BX253" s="242"/>
      <c r="BY253" s="242"/>
      <c r="BZ253" s="242"/>
      <c r="CA253" s="242"/>
      <c r="CB253" s="242"/>
    </row>
    <row r="254" spans="1:81" ht="15.75" thickBot="1" x14ac:dyDescent="0.3">
      <c r="A254" s="96">
        <v>246</v>
      </c>
      <c r="B254" s="242" t="s">
        <v>1033</v>
      </c>
      <c r="C254" s="96" t="s">
        <v>170</v>
      </c>
      <c r="D254" s="242" t="s">
        <v>1033</v>
      </c>
      <c r="E254" s="1252" t="s">
        <v>1067</v>
      </c>
      <c r="F254" s="769" t="s">
        <v>235</v>
      </c>
      <c r="G254" s="769" t="s">
        <v>235</v>
      </c>
      <c r="H254" s="769"/>
      <c r="I254" s="769" t="s">
        <v>235</v>
      </c>
      <c r="J254" s="769"/>
      <c r="K254" s="769"/>
      <c r="L254" s="769"/>
      <c r="M254" s="769"/>
      <c r="N254" s="769"/>
      <c r="O254" s="769"/>
      <c r="P254" s="769"/>
      <c r="Q254" s="769"/>
      <c r="R254" s="770"/>
      <c r="T254" s="221" t="str">
        <f>HLOOKUP($E$6,$F$9:$R$255,$A254,FALSE)</f>
        <v>Yes/No</v>
      </c>
      <c r="U254" s="241"/>
      <c r="V254" s="239"/>
      <c r="W254" s="167"/>
      <c r="X254" s="167"/>
      <c r="Y254" s="168"/>
      <c r="Z254" s="168"/>
      <c r="AA254" s="169"/>
      <c r="AB254" s="213" t="str">
        <f>IF(AB114=0,0,T254)</f>
        <v>Yes/No</v>
      </c>
      <c r="AD254" s="171"/>
      <c r="AE254" s="240" t="s">
        <v>236</v>
      </c>
      <c r="AF254" s="240" t="s">
        <v>236</v>
      </c>
      <c r="AG254" s="240" t="s">
        <v>236</v>
      </c>
      <c r="AI254" s="214">
        <f>IF(VLOOKUP(E254,'Pre-Assessment Estimator'!$E$11:$AB$225,'Pre-Assessment Estimator'!$G$2,FALSE)&gt;AB254,AB254,VLOOKUP(E254,'Pre-Assessment Estimator'!$E$11:$AB$225,'Pre-Assessment Estimator'!$G$2,FALSE))</f>
        <v>0</v>
      </c>
      <c r="AJ254" s="172">
        <f>IF(VLOOKUP(E254,'Pre-Assessment Estimator'!$E$11:$AB$225,'Pre-Assessment Estimator'!$N$2,FALSE)&gt;AB254,AB254,VLOOKUP(E254,'Pre-Assessment Estimator'!$E$11:$AB$225,'Pre-Assessment Estimator'!$N$2,FALSE))</f>
        <v>0</v>
      </c>
      <c r="AK254" s="172">
        <f>IF(VLOOKUP(E254,'Pre-Assessment Estimator'!$E$11:$AB$225,'Pre-Assessment Estimator'!$U$2,FALSE)&gt;AB254,AB254,VLOOKUP(E254,'Pre-Assessment Estimator'!$E$11:$AB$225,'Pre-Assessment Estimator'!$U$2,FALSE))</f>
        <v>0</v>
      </c>
      <c r="AM254" s="1233"/>
      <c r="AN254" s="1233"/>
      <c r="AO254" s="1233"/>
      <c r="AP254" s="1233"/>
      <c r="AQ254" s="1233"/>
      <c r="AS254" s="1233"/>
      <c r="AT254" s="1233"/>
      <c r="AU254" s="1233"/>
      <c r="AV254" s="1233"/>
      <c r="AW254" s="1233"/>
      <c r="AY254" s="236"/>
      <c r="AZ254" s="236"/>
      <c r="BA254" s="236"/>
      <c r="BB254" s="236"/>
      <c r="BC254" s="236"/>
      <c r="BD254" s="236"/>
      <c r="BE254" s="1234" t="s">
        <v>14</v>
      </c>
      <c r="BF254" s="99"/>
      <c r="BG254" s="236"/>
      <c r="BH254" s="1234" t="s">
        <v>14</v>
      </c>
      <c r="BI254" s="1234"/>
      <c r="BJ254" s="1235"/>
      <c r="BK254" s="1234" t="s">
        <v>14</v>
      </c>
      <c r="BL254" s="99"/>
      <c r="BO254" s="99"/>
      <c r="BP254" s="167" t="s">
        <v>12</v>
      </c>
      <c r="BQ254" s="167" t="str">
        <f t="shared" si="670"/>
        <v>Yes</v>
      </c>
      <c r="BR254" s="167">
        <f>IF(BQ254="",9,(IF(AI254=AD_Yes,5,0)))</f>
        <v>0</v>
      </c>
      <c r="BS254" s="167">
        <f>IF(BQ254="",9,(IF(AJ254=AD_Yes,5,0)))</f>
        <v>0</v>
      </c>
      <c r="BT254" s="167">
        <f>IF(BQ254="",9,(IF(AK254=AD_Yes,5,0)))</f>
        <v>0</v>
      </c>
      <c r="BW254" s="242"/>
      <c r="BX254" s="242"/>
      <c r="BY254" s="242"/>
      <c r="BZ254" s="242"/>
      <c r="CA254" s="242"/>
      <c r="CB254" s="242"/>
    </row>
    <row r="255" spans="1:81" ht="15.75" thickBot="1" x14ac:dyDescent="0.3">
      <c r="A255" s="96">
        <v>247</v>
      </c>
      <c r="B255" s="242" t="s">
        <v>1034</v>
      </c>
      <c r="C255" s="96" t="s">
        <v>178</v>
      </c>
      <c r="D255" s="242" t="s">
        <v>1034</v>
      </c>
      <c r="E255" s="1253" t="s">
        <v>1036</v>
      </c>
      <c r="F255" s="778" t="s">
        <v>235</v>
      </c>
      <c r="G255" s="778" t="s">
        <v>235</v>
      </c>
      <c r="H255" s="778"/>
      <c r="I255" s="778" t="s">
        <v>235</v>
      </c>
      <c r="J255" s="778"/>
      <c r="K255" s="778"/>
      <c r="L255" s="778"/>
      <c r="M255" s="778"/>
      <c r="N255" s="778"/>
      <c r="O255" s="778"/>
      <c r="P255" s="778"/>
      <c r="Q255" s="778"/>
      <c r="R255" s="779"/>
      <c r="T255" s="221" t="str">
        <f>HLOOKUP($E$6,$F$9:$R$255,$A255,FALSE)</f>
        <v>Yes/No</v>
      </c>
      <c r="U255" s="241"/>
      <c r="V255" s="239"/>
      <c r="W255" s="167"/>
      <c r="X255" s="167"/>
      <c r="Y255" s="168"/>
      <c r="Z255" s="168"/>
      <c r="AA255" s="169"/>
      <c r="AB255" s="213" t="str">
        <f>T255</f>
        <v>Yes/No</v>
      </c>
      <c r="AD255" s="171"/>
      <c r="AE255" s="240" t="s">
        <v>236</v>
      </c>
      <c r="AF255" s="240" t="s">
        <v>236</v>
      </c>
      <c r="AG255" s="240" t="s">
        <v>236</v>
      </c>
      <c r="AI255" s="214">
        <f>IF(VLOOKUP(E255,'Pre-Assessment Estimator'!$E$11:$AB$225,'Pre-Assessment Estimator'!$G$2,FALSE)&gt;AB255,AB255,VLOOKUP(E255,'Pre-Assessment Estimator'!$E$11:$AB$225,'Pre-Assessment Estimator'!$G$2,FALSE))</f>
        <v>0</v>
      </c>
      <c r="AJ255" s="172">
        <f>IF(VLOOKUP(E255,'Pre-Assessment Estimator'!$E$11:$AB$225,'Pre-Assessment Estimator'!$N$2,FALSE)&gt;AB255,AB255,VLOOKUP(E255,'Pre-Assessment Estimator'!$E$11:$AB$225,'Pre-Assessment Estimator'!$N$2,FALSE))</f>
        <v>0</v>
      </c>
      <c r="AK255" s="172">
        <f>IF(VLOOKUP(E255,'Pre-Assessment Estimator'!$E$11:$AB$225,'Pre-Assessment Estimator'!$U$2,FALSE)&gt;AB255,AB255,VLOOKUP(E255,'Pre-Assessment Estimator'!$E$11:$AB$225,'Pre-Assessment Estimator'!$U$2,FALSE))</f>
        <v>0</v>
      </c>
      <c r="AM255" s="1233"/>
      <c r="AN255" s="1233"/>
      <c r="AO255" s="1233"/>
      <c r="AP255" s="1233"/>
      <c r="AQ255" s="1233"/>
      <c r="AS255" s="1233"/>
      <c r="AT255" s="1233"/>
      <c r="AU255" s="1233"/>
      <c r="AV255" s="1233"/>
      <c r="AW255" s="1233"/>
      <c r="AY255" s="236"/>
      <c r="AZ255" s="236"/>
      <c r="BA255" s="236"/>
      <c r="BB255" s="236"/>
      <c r="BC255" s="236"/>
      <c r="BD255" s="236"/>
      <c r="BE255" s="1234" t="s">
        <v>14</v>
      </c>
      <c r="BF255" s="99"/>
      <c r="BG255" s="236"/>
      <c r="BH255" s="1234" t="s">
        <v>14</v>
      </c>
      <c r="BI255" s="1234"/>
      <c r="BJ255" s="1235"/>
      <c r="BK255" s="1234" t="s">
        <v>14</v>
      </c>
      <c r="BL255" s="99"/>
      <c r="BO255" s="99"/>
      <c r="BP255" s="167" t="s">
        <v>12</v>
      </c>
      <c r="BQ255" s="167" t="str">
        <f t="shared" si="670"/>
        <v>Yes</v>
      </c>
      <c r="BR255" s="167">
        <f>IF(BQ255="",9,(IF(AI255=AD_Yes,5,0)))</f>
        <v>0</v>
      </c>
      <c r="BS255" s="167">
        <f>IF(BQ255="",9,(IF(AJ255=AD_Yes,5,0)))</f>
        <v>0</v>
      </c>
      <c r="BT255" s="167">
        <f>IF(BQ255="",9,(IF(AK255=AD_Yes,5,0)))</f>
        <v>0</v>
      </c>
      <c r="BW255" s="242"/>
      <c r="BX255" s="242"/>
      <c r="BY255" s="242"/>
      <c r="BZ255" s="242"/>
      <c r="CA255" s="242"/>
      <c r="CB255" s="242"/>
    </row>
    <row r="256" spans="1:81" ht="15.75" thickBot="1" x14ac:dyDescent="0.3">
      <c r="A256" s="96">
        <v>248</v>
      </c>
      <c r="E256" s="1157"/>
      <c r="BO256" s="1148" t="s">
        <v>987</v>
      </c>
      <c r="BP256" s="1066"/>
      <c r="BQ256" s="1066"/>
      <c r="BR256" s="1184">
        <f>MIN(BR10:BR255)</f>
        <v>0</v>
      </c>
      <c r="BS256" s="1184">
        <f>MIN(BS10:BS255)</f>
        <v>0</v>
      </c>
      <c r="BT256" s="1184">
        <f>MIN(BT10:BT255)</f>
        <v>0</v>
      </c>
    </row>
    <row r="257" spans="1:73" ht="15.75" thickBot="1" x14ac:dyDescent="0.3">
      <c r="A257" s="96">
        <v>249</v>
      </c>
      <c r="E257" s="242" t="s">
        <v>267</v>
      </c>
      <c r="F257" s="763">
        <f t="shared" ref="F257:R257" si="671">F36+F66+F97+F110+F123+F152+F166+F197+F214</f>
        <v>143</v>
      </c>
      <c r="G257" s="763">
        <f t="shared" si="671"/>
        <v>137</v>
      </c>
      <c r="H257" s="763">
        <f t="shared" si="671"/>
        <v>136</v>
      </c>
      <c r="I257" s="763">
        <f t="shared" si="671"/>
        <v>137</v>
      </c>
      <c r="J257" s="763">
        <f t="shared" si="671"/>
        <v>142</v>
      </c>
      <c r="K257" s="763">
        <f t="shared" si="671"/>
        <v>137</v>
      </c>
      <c r="L257" s="763">
        <f t="shared" si="671"/>
        <v>137</v>
      </c>
      <c r="M257" s="763">
        <f t="shared" si="671"/>
        <v>139</v>
      </c>
      <c r="N257" s="763">
        <f t="shared" si="671"/>
        <v>139</v>
      </c>
      <c r="O257" s="763">
        <f t="shared" si="671"/>
        <v>137</v>
      </c>
      <c r="P257" s="763">
        <f t="shared" si="671"/>
        <v>137</v>
      </c>
      <c r="Q257" s="763">
        <f t="shared" si="671"/>
        <v>142</v>
      </c>
      <c r="R257" s="763">
        <f t="shared" si="671"/>
        <v>142</v>
      </c>
      <c r="T257" s="96">
        <f>T36+T66+T97+T110+T123+T152+T166+T197+T214+T231</f>
        <v>153</v>
      </c>
      <c r="AA257" s="96">
        <f>Poeng_tot-Poeng_tilgj</f>
        <v>0</v>
      </c>
      <c r="AB257" s="96">
        <f>AB36+AB66+AB97+AB110+AB123+AB152+AB166+AB197+AB214+AB231</f>
        <v>153</v>
      </c>
      <c r="BR257" s="167" t="str">
        <f>IF(BR256=0,AD_no,AD_Yes)</f>
        <v>No</v>
      </c>
      <c r="BS257" s="167" t="str">
        <f>IF(BS256=0,AD_no,AD_Yes)</f>
        <v>No</v>
      </c>
      <c r="BT257" s="167" t="str">
        <f>IF(BT256=0,AD_no,AD_Yes)</f>
        <v>No</v>
      </c>
    </row>
    <row r="258" spans="1:73" x14ac:dyDescent="0.25">
      <c r="AA258" s="96">
        <f>AA36+AA66+AA97+AA110+AA123+AA152+AA166+AA197+AA214+AA231</f>
        <v>0</v>
      </c>
      <c r="AI258" s="96" t="str">
        <f>AD_Yes</f>
        <v>Yes</v>
      </c>
      <c r="AX258" s="1343" t="s">
        <v>240</v>
      </c>
      <c r="AY258" s="1344"/>
      <c r="AZ258" s="1344"/>
      <c r="BA258" s="1344"/>
      <c r="BB258" s="1344"/>
      <c r="BC258" s="1345"/>
      <c r="BD258" s="243">
        <f>MIN(BD10:BD252)</f>
        <v>0</v>
      </c>
      <c r="BE258" s="84" t="str">
        <f>VLOOKUP(BD258,$BO$283:$BP$289,2,FALSE)</f>
        <v>Unclassified</v>
      </c>
      <c r="BF258" s="85">
        <f>VLOOKUP(BP_MinStandards,BQ261:BS266,2,FALSE)</f>
        <v>0</v>
      </c>
      <c r="BG258" s="243">
        <f>MIN(BG10:BG252)</f>
        <v>0</v>
      </c>
      <c r="BH258" s="84" t="str">
        <f>VLOOKUP(BG258,$BO$283:$BP$289,2,FALSE)</f>
        <v>Unclassified</v>
      </c>
      <c r="BI258" s="85">
        <f>VLOOKUP(BP_MinStandards_design,BQ261:BS266,2,FALSE)</f>
        <v>0</v>
      </c>
      <c r="BJ258" s="243">
        <f>MIN(BJ10:BJ252)</f>
        <v>0</v>
      </c>
      <c r="BK258" s="84" t="str">
        <f>VLOOKUP(BJ258,$BO$283:$BP$289,2,FALSE)</f>
        <v>Unclassified</v>
      </c>
      <c r="BL258" s="85">
        <f>VLOOKUP(BP_MinStandards_const,BQ261:BS266,2,FALSE)</f>
        <v>0</v>
      </c>
    </row>
    <row r="259" spans="1:73" x14ac:dyDescent="0.25">
      <c r="D259" s="251"/>
      <c r="E259" s="251" t="s">
        <v>228</v>
      </c>
      <c r="F259" s="686"/>
      <c r="G259" s="686"/>
      <c r="H259" s="686"/>
      <c r="I259" s="686"/>
      <c r="J259" s="686"/>
      <c r="K259" s="686"/>
      <c r="L259" s="686"/>
      <c r="M259" s="686"/>
      <c r="N259" s="686"/>
      <c r="O259" s="686"/>
      <c r="P259" s="686"/>
      <c r="Q259" s="686"/>
      <c r="R259" s="686"/>
      <c r="AE259" s="96">
        <f>Man_cont_tot+Hea_cont_tot+Ene_cont_tot+Tra_cont_tot+Wat_cont_tot+Mat_cont_tot+Wst_cont_tot+LE_cont_tot+Pol_cont_tot+Inn_cont_tot</f>
        <v>0</v>
      </c>
      <c r="AI259" s="96" t="str">
        <f>AD_no</f>
        <v>No</v>
      </c>
      <c r="AX259" s="1319" t="s">
        <v>241</v>
      </c>
      <c r="AY259" s="1320"/>
      <c r="AZ259" s="1320"/>
      <c r="BA259" s="1320"/>
      <c r="BB259" s="1320"/>
      <c r="BC259" s="1321"/>
      <c r="BD259" s="239">
        <f>Man_Credits+Hea_Credits+Ene_Credits+Tra_Credits+Wat__Credits+Mat_Credits+Wst_Credits+LE_Credits+Pol_Credits+Inn_Credits</f>
        <v>153</v>
      </c>
      <c r="BE259" s="167"/>
      <c r="BF259" s="185"/>
      <c r="BG259" s="239">
        <f>Man_Credits+Hea_Credits+Ene_Credits+Tra_Credits+Wat__Credits+Mat_Credits+Wst_Credits+LE_Credits+Pol_Credits+Inn_Credits</f>
        <v>153</v>
      </c>
      <c r="BH259" s="167"/>
      <c r="BI259" s="185"/>
      <c r="BJ259" s="239">
        <f>Man_Credits+Hea_Credits+Ene_Credits+Tra_Credits+Wat__Credits+Mat_Credits+Wst_Credits+LE_Credits+Pol_Credits+Inn_Credits</f>
        <v>153</v>
      </c>
      <c r="BK259" s="167"/>
      <c r="BL259" s="185"/>
    </row>
    <row r="260" spans="1:73" ht="15.75" thickBot="1" x14ac:dyDescent="0.3">
      <c r="E260" s="96" t="s">
        <v>700</v>
      </c>
      <c r="AX260" s="1319" t="s">
        <v>242</v>
      </c>
      <c r="AY260" s="1320"/>
      <c r="AZ260" s="1320"/>
      <c r="BA260" s="1320"/>
      <c r="BB260" s="1320"/>
      <c r="BC260" s="1321"/>
      <c r="BD260" s="239">
        <f>Achieved_initial</f>
        <v>0</v>
      </c>
      <c r="BE260" s="167"/>
      <c r="BF260" s="185"/>
      <c r="BG260" s="239">
        <f>Achieved_design</f>
        <v>0</v>
      </c>
      <c r="BH260" s="167"/>
      <c r="BI260" s="185"/>
      <c r="BJ260" s="239">
        <f>Achieved_const</f>
        <v>0</v>
      </c>
      <c r="BK260" s="167"/>
      <c r="BL260" s="185"/>
    </row>
    <row r="261" spans="1:73" ht="15.75" thickBot="1" x14ac:dyDescent="0.3">
      <c r="E261" s="96" t="s">
        <v>710</v>
      </c>
      <c r="N261" s="819"/>
      <c r="AX261" s="1323" t="s">
        <v>245</v>
      </c>
      <c r="AY261" s="1324"/>
      <c r="AZ261" s="1324"/>
      <c r="BA261" s="1324"/>
      <c r="BB261" s="1324"/>
      <c r="BC261" s="1325"/>
      <c r="BD261" s="88">
        <f>Score_Initial</f>
        <v>0</v>
      </c>
      <c r="BE261" s="86" t="str">
        <f>IF(BD261&gt;=BP266,BQ266,IF(BD261&gt;=BP265,BQ265,IF(BD261&gt;=BP264,BQ264,IF(BD261&gt;=BP263,BQ263,IF(BD261&gt;=BP262,BQ262,BQ261)))))</f>
        <v>Unclassified</v>
      </c>
      <c r="BF261" s="87">
        <f>VLOOKUP(BE261,BQ261:BS266,2,FALSE)</f>
        <v>0</v>
      </c>
      <c r="BG261" s="88">
        <f>Score_design</f>
        <v>0</v>
      </c>
      <c r="BH261" s="86" t="str">
        <f>IF(BG261&gt;=BP266,BQ266,IF(BG261&gt;=BP265,BQ265,IF(BG261&gt;=BP264,BQ264,IF(BG261&gt;=BP263,BQ263,IF(BG261&gt;=BP262,BQ262,BQ261)))))</f>
        <v>Unclassified</v>
      </c>
      <c r="BI261" s="87">
        <f>VLOOKUP(BH261,BQ261:BS266,2,FALSE)</f>
        <v>0</v>
      </c>
      <c r="BJ261" s="88">
        <f>Score_const</f>
        <v>0</v>
      </c>
      <c r="BK261" s="86" t="str">
        <f>IF(BJ261&gt;=BP266,BQ266,IF(BJ261&gt;=BP265,BQ265,IF(BJ261&gt;=BP264,BQ264,IF(BJ261&gt;=BP263,BQ263,IF(BJ261&gt;=BP262,BQ262,BQ261)))))</f>
        <v>Unclassified</v>
      </c>
      <c r="BL261" s="87">
        <f>VLOOKUP(BK261,BQ261:BS266,2,FALSE)</f>
        <v>0</v>
      </c>
      <c r="BO261" s="244" t="s">
        <v>244</v>
      </c>
      <c r="BP261" s="245">
        <v>0</v>
      </c>
      <c r="BQ261" s="246" t="s">
        <v>74</v>
      </c>
      <c r="BR261" s="247">
        <v>0</v>
      </c>
      <c r="BT261" s="96" t="s">
        <v>74</v>
      </c>
      <c r="BU261" s="96" t="s">
        <v>828</v>
      </c>
    </row>
    <row r="262" spans="1:73" ht="15.75" thickBot="1" x14ac:dyDescent="0.3">
      <c r="E262" s="96" t="s">
        <v>1071</v>
      </c>
      <c r="N262" s="819"/>
      <c r="AX262" s="130"/>
      <c r="AY262" s="130"/>
      <c r="AZ262" s="130"/>
      <c r="BA262" s="130"/>
      <c r="BB262" s="130"/>
      <c r="BC262" s="130"/>
      <c r="BD262" s="130"/>
      <c r="BE262" s="130"/>
      <c r="BO262" s="248" t="s">
        <v>243</v>
      </c>
      <c r="BP262" s="249">
        <v>0.3</v>
      </c>
      <c r="BQ262" s="99" t="s">
        <v>76</v>
      </c>
      <c r="BR262" s="250">
        <v>1</v>
      </c>
      <c r="BT262" s="96" t="s">
        <v>76</v>
      </c>
      <c r="BU262" s="96" t="s">
        <v>89</v>
      </c>
    </row>
    <row r="263" spans="1:73" ht="15.75" thickBot="1" x14ac:dyDescent="0.3">
      <c r="E263" s="96" t="s">
        <v>998</v>
      </c>
      <c r="L263" s="819"/>
      <c r="N263" s="819"/>
      <c r="AX263" s="252" t="s">
        <v>246</v>
      </c>
      <c r="AY263" s="253"/>
      <c r="AZ263" s="253"/>
      <c r="BA263" s="253"/>
      <c r="BB263" s="253"/>
      <c r="BC263" s="254"/>
      <c r="BD263" s="255" t="s">
        <v>247</v>
      </c>
      <c r="BE263" s="63" t="str">
        <f>IF(BF263=1,(BP_MinStandards&amp;"*"),BE261)</f>
        <v>Unclassified</v>
      </c>
      <c r="BF263" s="62">
        <f>IF(BF258&lt;BF261,1,0)</f>
        <v>0</v>
      </c>
      <c r="BH263" s="63" t="str">
        <f>IF(BI263=1,(BP_MinStandards_design&amp;"*"),BH261)</f>
        <v>Unclassified</v>
      </c>
      <c r="BI263" s="62">
        <f>IF(BI258&lt;BI261,1,0)</f>
        <v>0</v>
      </c>
      <c r="BK263" s="63" t="str">
        <f>IF(BL263=1,(BP_MinStandards_const&amp;"*"),BK261)</f>
        <v>Unclassified</v>
      </c>
      <c r="BL263" s="62">
        <f>IF(BL258&lt;BL261,1,0)</f>
        <v>0</v>
      </c>
      <c r="BO263" s="248" t="s">
        <v>243</v>
      </c>
      <c r="BP263" s="249">
        <v>0.45</v>
      </c>
      <c r="BQ263" s="99" t="s">
        <v>77</v>
      </c>
      <c r="BR263" s="250">
        <v>2</v>
      </c>
      <c r="BT263" s="96" t="s">
        <v>77</v>
      </c>
      <c r="BU263" s="96" t="s">
        <v>90</v>
      </c>
    </row>
    <row r="264" spans="1:73" x14ac:dyDescent="0.25">
      <c r="E264" s="96" t="s">
        <v>701</v>
      </c>
      <c r="L264" s="819" t="s">
        <v>580</v>
      </c>
      <c r="T264" s="96">
        <f>IF(OR(AI74&lt;&gt;AB74,Ene02_user&lt;&gt;Ene02_credits),0,1)</f>
        <v>0</v>
      </c>
      <c r="BO264" s="248" t="s">
        <v>243</v>
      </c>
      <c r="BP264" s="249">
        <v>0.55000000000000004</v>
      </c>
      <c r="BQ264" s="99" t="s">
        <v>78</v>
      </c>
      <c r="BR264" s="250">
        <v>3</v>
      </c>
      <c r="BT264" s="96" t="s">
        <v>78</v>
      </c>
      <c r="BU264" s="96" t="s">
        <v>91</v>
      </c>
    </row>
    <row r="265" spans="1:73" x14ac:dyDescent="0.25">
      <c r="E265" s="96" t="s">
        <v>711</v>
      </c>
      <c r="L265" s="819" t="s">
        <v>581</v>
      </c>
      <c r="AX265" s="96" t="s">
        <v>248</v>
      </c>
      <c r="BO265" s="248" t="s">
        <v>243</v>
      </c>
      <c r="BP265" s="249">
        <v>0.7</v>
      </c>
      <c r="BQ265" s="99" t="s">
        <v>79</v>
      </c>
      <c r="BR265" s="250">
        <v>4</v>
      </c>
      <c r="BT265" s="96" t="s">
        <v>79</v>
      </c>
      <c r="BU265" s="96" t="s">
        <v>237</v>
      </c>
    </row>
    <row r="266" spans="1:73" ht="15.75" thickBot="1" x14ac:dyDescent="0.3">
      <c r="E266" s="96" t="s">
        <v>702</v>
      </c>
      <c r="L266" s="819" t="s">
        <v>582</v>
      </c>
      <c r="BE266" s="260" t="str">
        <f>IF(BF263=1,AX265,"")</f>
        <v/>
      </c>
      <c r="BH266" s="260" t="str">
        <f>IF(BI263=1,AX265,"")</f>
        <v/>
      </c>
      <c r="BK266" s="260" t="str">
        <f>IF(BL263=1,AX265,"")</f>
        <v/>
      </c>
      <c r="BO266" s="256" t="s">
        <v>243</v>
      </c>
      <c r="BP266" s="257">
        <v>0.85</v>
      </c>
      <c r="BQ266" s="258" t="s">
        <v>80</v>
      </c>
      <c r="BR266" s="259">
        <v>5</v>
      </c>
      <c r="BT266" s="96" t="s">
        <v>80</v>
      </c>
      <c r="BU266" s="96" t="s">
        <v>92</v>
      </c>
    </row>
    <row r="267" spans="1:73" x14ac:dyDescent="0.25">
      <c r="E267" s="96" t="s">
        <v>703</v>
      </c>
      <c r="L267" s="819"/>
    </row>
    <row r="268" spans="1:73" x14ac:dyDescent="0.25">
      <c r="E268" s="96" t="s">
        <v>704</v>
      </c>
      <c r="L268" s="819" t="s">
        <v>586</v>
      </c>
      <c r="AX268" s="96" t="str">
        <f>"* = "&amp;AX265</f>
        <v>* = The rating has been limited to the min. standards level achieved</v>
      </c>
    </row>
    <row r="269" spans="1:73" x14ac:dyDescent="0.25">
      <c r="E269" s="96" t="s">
        <v>705</v>
      </c>
      <c r="L269" s="819" t="s">
        <v>583</v>
      </c>
    </row>
    <row r="270" spans="1:73" x14ac:dyDescent="0.25">
      <c r="E270" s="96" t="s">
        <v>706</v>
      </c>
      <c r="L270" s="819"/>
    </row>
    <row r="271" spans="1:73" x14ac:dyDescent="0.25">
      <c r="E271" s="96" t="s">
        <v>707</v>
      </c>
      <c r="L271" s="819" t="s">
        <v>584</v>
      </c>
    </row>
    <row r="272" spans="1:73" x14ac:dyDescent="0.25">
      <c r="E272" s="96" t="s">
        <v>708</v>
      </c>
      <c r="L272" s="819" t="s">
        <v>585</v>
      </c>
    </row>
    <row r="273" spans="4:73" x14ac:dyDescent="0.25">
      <c r="E273" s="96" t="s">
        <v>709</v>
      </c>
      <c r="L273" s="819"/>
    </row>
    <row r="274" spans="4:73" x14ac:dyDescent="0.25">
      <c r="E274" s="96" t="s">
        <v>316</v>
      </c>
      <c r="L274" s="819"/>
    </row>
    <row r="275" spans="4:73" x14ac:dyDescent="0.25">
      <c r="L275" s="819" t="s">
        <v>1072</v>
      </c>
    </row>
    <row r="276" spans="4:73" ht="45" x14ac:dyDescent="0.25">
      <c r="D276" s="96" t="s">
        <v>12</v>
      </c>
      <c r="E276" s="96" t="s">
        <v>314</v>
      </c>
      <c r="F276" s="763" t="s">
        <v>1006</v>
      </c>
    </row>
    <row r="277" spans="4:73" ht="45" x14ac:dyDescent="0.25">
      <c r="D277" s="96" t="s">
        <v>13</v>
      </c>
      <c r="E277" s="96" t="s">
        <v>314</v>
      </c>
      <c r="F277" s="763" t="s">
        <v>1007</v>
      </c>
    </row>
    <row r="283" spans="4:73" x14ac:dyDescent="0.25">
      <c r="BN283" s="96" t="s">
        <v>80</v>
      </c>
      <c r="BO283" s="96">
        <v>5</v>
      </c>
      <c r="BP283" s="96" t="s">
        <v>80</v>
      </c>
      <c r="BR283" s="96" t="s">
        <v>829</v>
      </c>
      <c r="BT283" s="96" t="s">
        <v>80</v>
      </c>
      <c r="BU283" s="96" t="s">
        <v>92</v>
      </c>
    </row>
    <row r="284" spans="4:73" x14ac:dyDescent="0.25">
      <c r="BN284" s="96" t="s">
        <v>79</v>
      </c>
      <c r="BO284" s="96">
        <v>4</v>
      </c>
      <c r="BP284" s="96" t="s">
        <v>79</v>
      </c>
      <c r="BR284" s="96" t="s">
        <v>830</v>
      </c>
      <c r="BT284" s="96" t="s">
        <v>79</v>
      </c>
      <c r="BU284" s="96" t="s">
        <v>237</v>
      </c>
    </row>
    <row r="285" spans="4:73" x14ac:dyDescent="0.25">
      <c r="BN285" s="96" t="s">
        <v>78</v>
      </c>
      <c r="BO285" s="96">
        <v>3</v>
      </c>
      <c r="BP285" s="96" t="s">
        <v>78</v>
      </c>
      <c r="BR285" s="96" t="s">
        <v>831</v>
      </c>
      <c r="BT285" s="96" t="s">
        <v>78</v>
      </c>
      <c r="BU285" s="96" t="s">
        <v>91</v>
      </c>
    </row>
    <row r="286" spans="4:73" x14ac:dyDescent="0.25">
      <c r="BN286" s="96" t="s">
        <v>77</v>
      </c>
      <c r="BO286" s="96">
        <v>2</v>
      </c>
      <c r="BP286" s="96" t="s">
        <v>77</v>
      </c>
      <c r="BR286" s="96" t="s">
        <v>77</v>
      </c>
      <c r="BT286" s="96" t="s">
        <v>77</v>
      </c>
      <c r="BU286" s="96" t="s">
        <v>90</v>
      </c>
    </row>
    <row r="287" spans="4:73" x14ac:dyDescent="0.25">
      <c r="BN287" s="96" t="s">
        <v>76</v>
      </c>
      <c r="BO287" s="96">
        <v>1</v>
      </c>
      <c r="BP287" s="96" t="s">
        <v>76</v>
      </c>
      <c r="BR287" s="96" t="s">
        <v>76</v>
      </c>
      <c r="BT287" s="96" t="s">
        <v>76</v>
      </c>
      <c r="BU287" s="96" t="s">
        <v>89</v>
      </c>
    </row>
    <row r="288" spans="4:73" x14ac:dyDescent="0.25">
      <c r="BN288" s="96" t="s">
        <v>74</v>
      </c>
      <c r="BO288" s="96">
        <v>0</v>
      </c>
      <c r="BP288" s="96" t="s">
        <v>74</v>
      </c>
      <c r="BR288" s="96" t="s">
        <v>74</v>
      </c>
      <c r="BT288" s="96" t="s">
        <v>74</v>
      </c>
      <c r="BU288" s="96" t="s">
        <v>828</v>
      </c>
    </row>
    <row r="289" spans="4:73" x14ac:dyDescent="0.25">
      <c r="BN289" s="96" t="s">
        <v>14</v>
      </c>
      <c r="BO289" s="96">
        <v>9</v>
      </c>
      <c r="BP289" s="96" t="s">
        <v>14</v>
      </c>
      <c r="BR289" s="96" t="s">
        <v>14</v>
      </c>
      <c r="BT289" s="96" t="s">
        <v>14</v>
      </c>
      <c r="BU289" s="96" t="s">
        <v>14</v>
      </c>
    </row>
    <row r="290" spans="4:73" ht="15.75" thickBot="1" x14ac:dyDescent="0.3">
      <c r="E290" s="667">
        <v>1</v>
      </c>
      <c r="F290" s="780">
        <v>2</v>
      </c>
      <c r="G290" s="780">
        <v>3</v>
      </c>
      <c r="H290" s="780">
        <v>4</v>
      </c>
    </row>
    <row r="291" spans="4:73" ht="15.75" thickBot="1" x14ac:dyDescent="0.3">
      <c r="D291" s="145"/>
      <c r="E291" s="658" t="s">
        <v>413</v>
      </c>
      <c r="F291" s="781" t="s">
        <v>419</v>
      </c>
      <c r="G291" s="781" t="s">
        <v>421</v>
      </c>
      <c r="H291" s="782" t="s">
        <v>422</v>
      </c>
    </row>
    <row r="292" spans="4:73" ht="15.75" thickBot="1" x14ac:dyDescent="0.3">
      <c r="D292" s="163" t="s">
        <v>414</v>
      </c>
      <c r="E292" s="655" t="str">
        <f>'Pre-Assessment Estimator'!AK38</f>
        <v>O1: Glare ctrl/artificial light</v>
      </c>
      <c r="F292" s="783">
        <v>0</v>
      </c>
      <c r="G292" s="783" t="s">
        <v>420</v>
      </c>
      <c r="H292" s="784"/>
    </row>
    <row r="293" spans="4:73" ht="15.75" thickBot="1" x14ac:dyDescent="0.3">
      <c r="D293" s="166" t="s">
        <v>414</v>
      </c>
      <c r="E293" s="70" t="str">
        <f>'Pre-Assessment Estimator'!AL38</f>
        <v>O2: Glare control (-0,5 c)</v>
      </c>
      <c r="F293" s="785">
        <v>-0.5</v>
      </c>
      <c r="G293" s="785" t="s">
        <v>420</v>
      </c>
      <c r="H293" s="786"/>
      <c r="BI293" s="152" t="s">
        <v>282</v>
      </c>
      <c r="BJ293" s="152" t="s">
        <v>283</v>
      </c>
      <c r="BK293" s="153" t="s">
        <v>1</v>
      </c>
      <c r="BP293" s="151" t="s">
        <v>284</v>
      </c>
      <c r="BQ293" s="152" t="s">
        <v>87</v>
      </c>
      <c r="BR293" s="152" t="s">
        <v>282</v>
      </c>
      <c r="BS293" s="152" t="s">
        <v>283</v>
      </c>
      <c r="BT293" s="153" t="s">
        <v>1</v>
      </c>
    </row>
    <row r="294" spans="4:73" x14ac:dyDescent="0.25">
      <c r="D294" s="166" t="s">
        <v>414</v>
      </c>
      <c r="E294" s="70" t="str">
        <f>'Pre-Assessment Estimator'!AM38</f>
        <v>O2: Artificial lighting (-0,5 c)</v>
      </c>
      <c r="F294" s="785">
        <v>-0.5</v>
      </c>
      <c r="G294" s="785" t="s">
        <v>420</v>
      </c>
      <c r="H294" s="786"/>
      <c r="BH294" s="1185" t="s">
        <v>712</v>
      </c>
      <c r="BI294" s="99">
        <f t="shared" ref="BI294:BI326" si="672">VLOOKUP($BH294,$B$10:$BK$252,BD$1,FALSE)</f>
        <v>3</v>
      </c>
      <c r="BJ294" s="99">
        <f t="shared" ref="BJ294:BJ326" si="673">VLOOKUP($BH294,$B$10:$BK$252,BG$1,FALSE)</f>
        <v>3</v>
      </c>
      <c r="BK294" s="99">
        <f t="shared" ref="BK294:BK326" si="674">VLOOKUP($BH294,$B$10:$BK$252,BJ$1,FALSE)</f>
        <v>3</v>
      </c>
      <c r="BP294" s="313" t="s">
        <v>547</v>
      </c>
      <c r="BQ294" s="177" t="s">
        <v>93</v>
      </c>
      <c r="BR294" s="177">
        <f>MIN(BI294:BI295)</f>
        <v>3</v>
      </c>
      <c r="BS294" s="177">
        <f t="shared" ref="BS294:BT294" si="675">MIN(BJ294:BJ295)</f>
        <v>3</v>
      </c>
      <c r="BT294" s="177">
        <f t="shared" si="675"/>
        <v>3</v>
      </c>
    </row>
    <row r="295" spans="4:73" ht="15.75" thickBot="1" x14ac:dyDescent="0.3">
      <c r="D295" s="166" t="s">
        <v>414</v>
      </c>
      <c r="E295" s="656" t="str">
        <f>'Pre-Assessment Estimator'!AN38</f>
        <v>O2: Glare ctrl &amp; artif light (-1,0 c)</v>
      </c>
      <c r="F295" s="785">
        <v>-1</v>
      </c>
      <c r="G295" s="785" t="s">
        <v>420</v>
      </c>
      <c r="H295" s="786"/>
      <c r="BH295" s="1186" t="s">
        <v>713</v>
      </c>
      <c r="BI295" s="258">
        <f t="shared" si="672"/>
        <v>3</v>
      </c>
      <c r="BJ295" s="258">
        <f t="shared" si="673"/>
        <v>3</v>
      </c>
      <c r="BK295" s="258">
        <f t="shared" si="674"/>
        <v>3</v>
      </c>
      <c r="BP295" s="166" t="s">
        <v>549</v>
      </c>
      <c r="BQ295" s="167" t="s">
        <v>95</v>
      </c>
      <c r="BR295" s="167">
        <f>MIN(BI296:BI298)</f>
        <v>0</v>
      </c>
      <c r="BS295" s="167">
        <f t="shared" ref="BS295:BT295" si="676">MIN(BJ296:BJ298)</f>
        <v>0</v>
      </c>
      <c r="BT295" s="167">
        <f t="shared" si="676"/>
        <v>0</v>
      </c>
    </row>
    <row r="296" spans="4:73" x14ac:dyDescent="0.25">
      <c r="D296" s="166" t="s">
        <v>414</v>
      </c>
      <c r="E296" s="655" t="str">
        <f>'Pre-Assessment Estimator'!AO38</f>
        <v>O3: Glare ctrl/artif lighting</v>
      </c>
      <c r="F296" s="785">
        <v>0</v>
      </c>
      <c r="G296" s="785" t="s">
        <v>420</v>
      </c>
      <c r="H296" s="786"/>
      <c r="BH296" s="681" t="s">
        <v>721</v>
      </c>
      <c r="BI296" s="96">
        <f t="shared" si="672"/>
        <v>0</v>
      </c>
      <c r="BJ296" s="96">
        <f t="shared" si="673"/>
        <v>0</v>
      </c>
      <c r="BK296" s="96">
        <f t="shared" si="674"/>
        <v>0</v>
      </c>
      <c r="BP296" s="166" t="s">
        <v>96</v>
      </c>
      <c r="BQ296" s="167" t="s">
        <v>96</v>
      </c>
      <c r="BR296" s="167">
        <f>MIN(BI299:BI300)</f>
        <v>0</v>
      </c>
      <c r="BS296" s="167">
        <f t="shared" ref="BS296:BT296" si="677">MIN(BJ299:BJ300)</f>
        <v>0</v>
      </c>
      <c r="BT296" s="167">
        <f t="shared" si="677"/>
        <v>0</v>
      </c>
    </row>
    <row r="297" spans="4:73" ht="15.75" thickBot="1" x14ac:dyDescent="0.3">
      <c r="D297" s="229" t="s">
        <v>414</v>
      </c>
      <c r="E297" s="656" t="str">
        <f>'Pre-Assessment Estimator'!AP38</f>
        <v>Glare ctrl/artif lighting N/A</v>
      </c>
      <c r="F297" s="787">
        <v>0</v>
      </c>
      <c r="G297" s="787" t="s">
        <v>420</v>
      </c>
      <c r="H297" s="788">
        <v>2</v>
      </c>
      <c r="BH297" s="681" t="s">
        <v>722</v>
      </c>
      <c r="BI297" s="96">
        <f t="shared" si="672"/>
        <v>2</v>
      </c>
      <c r="BJ297" s="96">
        <f t="shared" si="673"/>
        <v>2</v>
      </c>
      <c r="BK297" s="96">
        <f t="shared" si="674"/>
        <v>2</v>
      </c>
      <c r="BP297" s="166" t="s">
        <v>559</v>
      </c>
      <c r="BQ297" s="167" t="str">
        <f>IF(E6=H9,"","Man 05")</f>
        <v>Man 05</v>
      </c>
      <c r="BR297" s="167">
        <f>MIN(BI301)</f>
        <v>3</v>
      </c>
      <c r="BS297" s="167">
        <f t="shared" ref="BS297:BT297" si="678">MIN(BJ301)</f>
        <v>3</v>
      </c>
      <c r="BT297" s="167">
        <f t="shared" si="678"/>
        <v>3</v>
      </c>
      <c r="BU297" s="223" t="s">
        <v>573</v>
      </c>
    </row>
    <row r="298" spans="4:73" ht="15.75" thickBot="1" x14ac:dyDescent="0.3">
      <c r="D298" s="163" t="s">
        <v>415</v>
      </c>
      <c r="E298" s="655" t="str">
        <f>'Pre-Assessment Estimator'!AK46</f>
        <v>O1: VOC</v>
      </c>
      <c r="F298" s="783">
        <v>0</v>
      </c>
      <c r="G298" s="783" t="s">
        <v>420</v>
      </c>
      <c r="H298" s="784"/>
      <c r="BH298" s="1186" t="s">
        <v>912</v>
      </c>
      <c r="BI298" s="258">
        <f t="shared" si="672"/>
        <v>3</v>
      </c>
      <c r="BJ298" s="258">
        <f t="shared" si="673"/>
        <v>3</v>
      </c>
      <c r="BK298" s="258">
        <f t="shared" si="674"/>
        <v>3</v>
      </c>
      <c r="BP298" s="166" t="s">
        <v>863</v>
      </c>
      <c r="BQ298" s="96" t="s">
        <v>118</v>
      </c>
      <c r="BR298" s="167">
        <f>MIN(BI302)</f>
        <v>0</v>
      </c>
      <c r="BS298" s="167">
        <f>MIN(BJ302)</f>
        <v>0</v>
      </c>
      <c r="BT298" s="167">
        <f>MIN(BK302)</f>
        <v>0</v>
      </c>
    </row>
    <row r="299" spans="4:73" x14ac:dyDescent="0.25">
      <c r="D299" s="166" t="s">
        <v>415</v>
      </c>
      <c r="E299" s="70" t="str">
        <f>'Pre-Assessment Estimator'!AL46</f>
        <v>O2: VOC (AC 6-7: -0,5 c)</v>
      </c>
      <c r="F299" s="785">
        <v>-0.5</v>
      </c>
      <c r="G299" s="785" t="s">
        <v>420</v>
      </c>
      <c r="H299" s="786"/>
      <c r="BH299" s="681" t="s">
        <v>723</v>
      </c>
      <c r="BI299" s="96">
        <f t="shared" si="672"/>
        <v>0</v>
      </c>
      <c r="BJ299" s="96">
        <f t="shared" si="673"/>
        <v>0</v>
      </c>
      <c r="BK299" s="96">
        <f t="shared" si="674"/>
        <v>0</v>
      </c>
      <c r="BP299" s="166" t="s">
        <v>543</v>
      </c>
      <c r="BQ299" s="167" t="s">
        <v>119</v>
      </c>
      <c r="BR299" s="167">
        <f>MIN(BI303:BI304)</f>
        <v>0</v>
      </c>
      <c r="BS299" s="167">
        <f>MIN(BJ303:BJ304)</f>
        <v>0</v>
      </c>
      <c r="BT299" s="167">
        <f>MIN(BK303:BK304)</f>
        <v>0</v>
      </c>
    </row>
    <row r="300" spans="4:73" ht="15.75" thickBot="1" x14ac:dyDescent="0.3">
      <c r="D300" s="166" t="s">
        <v>415</v>
      </c>
      <c r="E300" s="70" t="str">
        <f>'Pre-Assessment Estimator'!AM46</f>
        <v>O2: VOC (AC 8-9: -1,0 c)</v>
      </c>
      <c r="F300" s="785">
        <v>-1</v>
      </c>
      <c r="G300" s="785" t="s">
        <v>420</v>
      </c>
      <c r="H300" s="786"/>
      <c r="BH300" s="1186" t="s">
        <v>725</v>
      </c>
      <c r="BI300" s="258">
        <f t="shared" si="672"/>
        <v>2</v>
      </c>
      <c r="BJ300" s="258">
        <f t="shared" si="673"/>
        <v>2</v>
      </c>
      <c r="BK300" s="258">
        <f t="shared" si="674"/>
        <v>2</v>
      </c>
      <c r="BP300" s="166" t="s">
        <v>574</v>
      </c>
      <c r="BQ300" s="167" t="s">
        <v>136</v>
      </c>
      <c r="BR300" s="167">
        <f>MIN(BI305)</f>
        <v>3</v>
      </c>
      <c r="BS300" s="167">
        <f t="shared" ref="BS300:BT300" si="679">MIN(BJ305)</f>
        <v>3</v>
      </c>
      <c r="BT300" s="167">
        <f t="shared" si="679"/>
        <v>3</v>
      </c>
      <c r="BU300" s="223"/>
    </row>
    <row r="301" spans="4:73" ht="15.75" thickBot="1" x14ac:dyDescent="0.3">
      <c r="D301" s="166" t="s">
        <v>415</v>
      </c>
      <c r="E301" s="70" t="str">
        <f>'Pre-Assessment Estimator'!AN46</f>
        <v>O3: VOC</v>
      </c>
      <c r="F301" s="785">
        <v>0</v>
      </c>
      <c r="G301" s="785" t="s">
        <v>420</v>
      </c>
      <c r="H301" s="786"/>
      <c r="BH301" s="1187" t="s">
        <v>727</v>
      </c>
      <c r="BI301" s="1066">
        <f t="shared" si="672"/>
        <v>3</v>
      </c>
      <c r="BJ301" s="1066">
        <f t="shared" si="673"/>
        <v>3</v>
      </c>
      <c r="BK301" s="1066">
        <f t="shared" si="674"/>
        <v>3</v>
      </c>
      <c r="BP301" s="188" t="s">
        <v>948</v>
      </c>
      <c r="BQ301" s="167" t="s">
        <v>142</v>
      </c>
      <c r="BR301" s="167">
        <f>MIN(BI306)</f>
        <v>0</v>
      </c>
      <c r="BS301" s="167">
        <f t="shared" ref="BS301:BT301" si="680">MIN(BJ306)</f>
        <v>0</v>
      </c>
      <c r="BT301" s="167">
        <f t="shared" si="680"/>
        <v>0</v>
      </c>
    </row>
    <row r="302" spans="4:73" ht="15.75" thickBot="1" x14ac:dyDescent="0.3">
      <c r="D302" s="192" t="s">
        <v>415</v>
      </c>
      <c r="E302" s="660" t="str">
        <f>'Pre-Assessment Estimator'!AO46</f>
        <v>VOC N/A</v>
      </c>
      <c r="F302" s="789">
        <v>0</v>
      </c>
      <c r="G302" s="789" t="s">
        <v>420</v>
      </c>
      <c r="H302" s="790">
        <v>5</v>
      </c>
      <c r="BH302" s="1187" t="s">
        <v>729</v>
      </c>
      <c r="BI302" s="1066">
        <f t="shared" si="672"/>
        <v>0</v>
      </c>
      <c r="BJ302" s="1066">
        <f t="shared" si="673"/>
        <v>0</v>
      </c>
      <c r="BK302" s="1066">
        <f t="shared" si="674"/>
        <v>0</v>
      </c>
      <c r="BP302" s="188" t="s">
        <v>551</v>
      </c>
      <c r="BQ302" s="167" t="s">
        <v>148</v>
      </c>
      <c r="BR302" s="167">
        <f>MIN(BI307)</f>
        <v>3</v>
      </c>
      <c r="BS302" s="167">
        <f t="shared" ref="BS302:BT302" si="681">MIN(BJ307)</f>
        <v>3</v>
      </c>
      <c r="BT302" s="167">
        <f t="shared" si="681"/>
        <v>3</v>
      </c>
      <c r="BU302" s="223"/>
    </row>
    <row r="303" spans="4:73" x14ac:dyDescent="0.25">
      <c r="D303" s="313" t="s">
        <v>416</v>
      </c>
      <c r="E303" s="659" t="str">
        <f>'Pre-Assessment Estimator'!AK73</f>
        <v>O1: Sub-metering</v>
      </c>
      <c r="F303" s="791">
        <v>0</v>
      </c>
      <c r="G303" s="791" t="s">
        <v>420</v>
      </c>
      <c r="H303" s="792"/>
      <c r="BH303" s="1189" t="s">
        <v>734</v>
      </c>
      <c r="BI303" s="246">
        <f t="shared" si="672"/>
        <v>0</v>
      </c>
      <c r="BJ303" s="246">
        <f t="shared" si="673"/>
        <v>0</v>
      </c>
      <c r="BK303" s="246">
        <f t="shared" si="674"/>
        <v>0</v>
      </c>
      <c r="BP303" s="166" t="s">
        <v>170</v>
      </c>
      <c r="BQ303" s="167" t="s">
        <v>170</v>
      </c>
      <c r="BR303" s="167">
        <f>MIN(BI308)</f>
        <v>3</v>
      </c>
      <c r="BS303" s="167">
        <f t="shared" ref="BS303:BT303" si="682">MIN(BJ308)</f>
        <v>3</v>
      </c>
      <c r="BT303" s="167">
        <f t="shared" si="682"/>
        <v>3</v>
      </c>
      <c r="BU303" s="223"/>
    </row>
    <row r="304" spans="4:73" ht="15.75" thickBot="1" x14ac:dyDescent="0.3">
      <c r="D304" s="166" t="s">
        <v>416</v>
      </c>
      <c r="E304" s="70" t="str">
        <f>'Pre-Assessment Estimator'!AL73</f>
        <v>O2: Sub-met. (AC 1-3: -0,5 c)</v>
      </c>
      <c r="F304" s="785">
        <v>-0.5</v>
      </c>
      <c r="G304" s="785" t="s">
        <v>420</v>
      </c>
      <c r="H304" s="786"/>
      <c r="BH304" s="1186" t="s">
        <v>736</v>
      </c>
      <c r="BI304" s="258">
        <f t="shared" si="672"/>
        <v>3</v>
      </c>
      <c r="BJ304" s="258">
        <f t="shared" si="673"/>
        <v>3</v>
      </c>
      <c r="BK304" s="258">
        <f t="shared" si="674"/>
        <v>3</v>
      </c>
      <c r="BP304" s="166" t="s">
        <v>4</v>
      </c>
      <c r="BQ304" s="167" t="s">
        <v>174</v>
      </c>
      <c r="BR304" s="167">
        <f>MIN(BI309:BI310)</f>
        <v>0</v>
      </c>
      <c r="BS304" s="167">
        <f t="shared" ref="BS304:BT304" si="683">MIN(BJ309:BJ310)</f>
        <v>0</v>
      </c>
      <c r="BT304" s="167">
        <f t="shared" si="683"/>
        <v>0</v>
      </c>
    </row>
    <row r="305" spans="4:72" ht="15.75" thickBot="1" x14ac:dyDescent="0.3">
      <c r="D305" s="166" t="s">
        <v>416</v>
      </c>
      <c r="E305" s="70" t="str">
        <f>'Pre-Assessment Estimator'!AM73</f>
        <v>O2: Sub-met. (AC 4-7: -1,0 c)</v>
      </c>
      <c r="F305" s="785">
        <v>-1</v>
      </c>
      <c r="G305" s="785" t="s">
        <v>420</v>
      </c>
      <c r="H305" s="786"/>
      <c r="BH305" s="1187" t="s">
        <v>749</v>
      </c>
      <c r="BI305" s="1066">
        <f t="shared" si="672"/>
        <v>3</v>
      </c>
      <c r="BJ305" s="1066">
        <f t="shared" si="673"/>
        <v>3</v>
      </c>
      <c r="BK305" s="1066">
        <f t="shared" si="674"/>
        <v>3</v>
      </c>
      <c r="BP305" s="166" t="s">
        <v>952</v>
      </c>
      <c r="BQ305" s="167" t="s">
        <v>479</v>
      </c>
      <c r="BR305" s="167">
        <f>MIN(BI311)</f>
        <v>0</v>
      </c>
      <c r="BS305" s="167">
        <f t="shared" ref="BS305:BT305" si="684">MIN(BJ311)</f>
        <v>0</v>
      </c>
      <c r="BT305" s="167">
        <f t="shared" si="684"/>
        <v>0</v>
      </c>
    </row>
    <row r="306" spans="4:72" ht="15.75" thickBot="1" x14ac:dyDescent="0.3">
      <c r="D306" s="166" t="s">
        <v>416</v>
      </c>
      <c r="E306" s="70" t="str">
        <f>'Pre-Assessment Estimator'!AN73</f>
        <v>O3: Sub-metering</v>
      </c>
      <c r="F306" s="785">
        <v>0</v>
      </c>
      <c r="G306" s="785" t="s">
        <v>420</v>
      </c>
      <c r="H306" s="786"/>
      <c r="BH306" s="1187" t="s">
        <v>758</v>
      </c>
      <c r="BI306" s="1066">
        <f t="shared" si="672"/>
        <v>0</v>
      </c>
      <c r="BJ306" s="1066">
        <f t="shared" si="673"/>
        <v>0</v>
      </c>
      <c r="BK306" s="1066">
        <f t="shared" si="674"/>
        <v>0</v>
      </c>
      <c r="BP306" s="166" t="s">
        <v>953</v>
      </c>
      <c r="BQ306" s="167" t="s">
        <v>175</v>
      </c>
      <c r="BR306" s="167">
        <f>MIN(BI312)</f>
        <v>0</v>
      </c>
      <c r="BS306" s="167">
        <f t="shared" ref="BS306:BT306" si="685">MIN(BJ312)</f>
        <v>0</v>
      </c>
      <c r="BT306" s="167">
        <f t="shared" si="685"/>
        <v>0</v>
      </c>
    </row>
    <row r="307" spans="4:72" ht="15.75" thickBot="1" x14ac:dyDescent="0.3">
      <c r="D307" s="192" t="s">
        <v>416</v>
      </c>
      <c r="E307" s="660" t="str">
        <f>'Pre-Assessment Estimator'!AO73</f>
        <v>Sub-metering N/A</v>
      </c>
      <c r="F307" s="789">
        <v>0</v>
      </c>
      <c r="G307" s="789" t="s">
        <v>420</v>
      </c>
      <c r="H307" s="790">
        <v>1</v>
      </c>
      <c r="BH307" s="1187" t="s">
        <v>762</v>
      </c>
      <c r="BI307" s="1066">
        <f t="shared" si="672"/>
        <v>3</v>
      </c>
      <c r="BJ307" s="1066">
        <f t="shared" si="673"/>
        <v>3</v>
      </c>
      <c r="BK307" s="1066">
        <f t="shared" si="674"/>
        <v>3</v>
      </c>
      <c r="BP307" s="166" t="s">
        <v>949</v>
      </c>
      <c r="BQ307" s="167" t="s">
        <v>176</v>
      </c>
      <c r="BR307" s="167">
        <f>MIN(BI313)</f>
        <v>3</v>
      </c>
      <c r="BS307" s="167">
        <f t="shared" ref="BS307:BT307" si="686">MIN(BJ313)</f>
        <v>3</v>
      </c>
      <c r="BT307" s="167">
        <f t="shared" si="686"/>
        <v>3</v>
      </c>
    </row>
    <row r="308" spans="4:72" ht="15.75" thickBot="1" x14ac:dyDescent="0.3">
      <c r="D308" s="313" t="s">
        <v>417</v>
      </c>
      <c r="E308" s="659" t="str">
        <f>'Pre-Assessment Estimator'!AK109</f>
        <v>O1: Flow control</v>
      </c>
      <c r="F308" s="791">
        <v>0</v>
      </c>
      <c r="G308" s="791" t="s">
        <v>420</v>
      </c>
      <c r="H308" s="792"/>
      <c r="BH308" s="1187" t="s">
        <v>765</v>
      </c>
      <c r="BI308" s="1066">
        <f t="shared" si="672"/>
        <v>3</v>
      </c>
      <c r="BJ308" s="1066">
        <f t="shared" si="673"/>
        <v>3</v>
      </c>
      <c r="BK308" s="1066">
        <f t="shared" si="674"/>
        <v>3</v>
      </c>
      <c r="BP308" s="166" t="s">
        <v>552</v>
      </c>
      <c r="BQ308" s="167" t="s">
        <v>177</v>
      </c>
      <c r="BR308" s="167">
        <f>MIN(BI314)</f>
        <v>0</v>
      </c>
      <c r="BS308" s="167">
        <f t="shared" ref="BS308:BT308" si="687">MIN(BJ314)</f>
        <v>0</v>
      </c>
      <c r="BT308" s="167">
        <f t="shared" si="687"/>
        <v>0</v>
      </c>
    </row>
    <row r="309" spans="4:72" x14ac:dyDescent="0.25">
      <c r="D309" s="166" t="s">
        <v>417</v>
      </c>
      <c r="E309" s="70" t="str">
        <f>'Pre-Assessment Estimator'!AL109</f>
        <v>O2: Flow control (-0,5 c)</v>
      </c>
      <c r="F309" s="785">
        <v>-0.5</v>
      </c>
      <c r="G309" s="785" t="s">
        <v>420</v>
      </c>
      <c r="H309" s="786"/>
      <c r="BH309" s="1189" t="s">
        <v>771</v>
      </c>
      <c r="BI309" s="246">
        <f t="shared" si="672"/>
        <v>0</v>
      </c>
      <c r="BJ309" s="246">
        <f t="shared" si="673"/>
        <v>0</v>
      </c>
      <c r="BK309" s="246">
        <f t="shared" si="674"/>
        <v>0</v>
      </c>
      <c r="BP309" s="166" t="s">
        <v>553</v>
      </c>
      <c r="BQ309" s="167" t="s">
        <v>480</v>
      </c>
      <c r="BR309" s="167">
        <f>MIN(BI315:BI316)</f>
        <v>3</v>
      </c>
      <c r="BS309" s="167">
        <f t="shared" ref="BS309:BT309" si="688">MIN(BJ315:BJ316)</f>
        <v>3</v>
      </c>
      <c r="BT309" s="167">
        <f t="shared" si="688"/>
        <v>3</v>
      </c>
    </row>
    <row r="310" spans="4:72" ht="15.75" thickBot="1" x14ac:dyDescent="0.3">
      <c r="D310" s="166" t="s">
        <v>417</v>
      </c>
      <c r="E310" s="70" t="str">
        <f>'Pre-Assessment Estimator'!AM109</f>
        <v xml:space="preserve">O3: Flow control </v>
      </c>
      <c r="F310" s="785">
        <v>0</v>
      </c>
      <c r="G310" s="785" t="s">
        <v>420</v>
      </c>
      <c r="H310" s="786"/>
      <c r="BH310" s="1188" t="s">
        <v>772</v>
      </c>
      <c r="BI310" s="258">
        <f t="shared" si="672"/>
        <v>2</v>
      </c>
      <c r="BJ310" s="258">
        <f t="shared" si="673"/>
        <v>2</v>
      </c>
      <c r="BK310" s="258">
        <f t="shared" si="674"/>
        <v>2</v>
      </c>
      <c r="BP310" s="166" t="s">
        <v>554</v>
      </c>
      <c r="BQ310" s="167" t="s">
        <v>178</v>
      </c>
      <c r="BR310" s="167">
        <f>MIN(BI317:BI320)</f>
        <v>0</v>
      </c>
      <c r="BS310" s="167">
        <f t="shared" ref="BS310:BT310" si="689">MIN(BJ317:BJ320)</f>
        <v>0</v>
      </c>
      <c r="BT310" s="167">
        <f t="shared" si="689"/>
        <v>0</v>
      </c>
    </row>
    <row r="311" spans="4:72" ht="15.75" thickBot="1" x14ac:dyDescent="0.3">
      <c r="D311" s="229" t="s">
        <v>417</v>
      </c>
      <c r="E311" s="656" t="str">
        <f>'Pre-Assessment Estimator'!AN109</f>
        <v>Flow control N/A</v>
      </c>
      <c r="F311" s="787">
        <v>0</v>
      </c>
      <c r="G311" s="787" t="s">
        <v>420</v>
      </c>
      <c r="H311" s="788">
        <v>1</v>
      </c>
      <c r="BH311" s="1187" t="s">
        <v>774</v>
      </c>
      <c r="BI311" s="246">
        <f t="shared" si="672"/>
        <v>0</v>
      </c>
      <c r="BJ311" s="246">
        <f t="shared" si="673"/>
        <v>0</v>
      </c>
      <c r="BK311" s="246">
        <f t="shared" si="674"/>
        <v>0</v>
      </c>
      <c r="BP311" s="166" t="s">
        <v>950</v>
      </c>
      <c r="BQ311" s="167" t="s">
        <v>951</v>
      </c>
      <c r="BR311" s="167">
        <f>MIN(BI321:BI322)</f>
        <v>3</v>
      </c>
      <c r="BS311" s="167">
        <f t="shared" ref="BS311:BT311" si="690">MIN(BJ321:BJ322)</f>
        <v>3</v>
      </c>
      <c r="BT311" s="167">
        <f t="shared" si="690"/>
        <v>3</v>
      </c>
    </row>
    <row r="312" spans="4:72" ht="15.75" thickBot="1" x14ac:dyDescent="0.3">
      <c r="D312" s="664" t="s">
        <v>186</v>
      </c>
      <c r="E312" s="665" t="s">
        <v>412</v>
      </c>
      <c r="F312" s="793">
        <v>1</v>
      </c>
      <c r="G312" s="793" t="s">
        <v>423</v>
      </c>
      <c r="H312" s="794"/>
      <c r="BH312" s="1187" t="s">
        <v>777</v>
      </c>
      <c r="BI312" s="1066">
        <f t="shared" si="672"/>
        <v>0</v>
      </c>
      <c r="BJ312" s="1066">
        <f t="shared" si="673"/>
        <v>0</v>
      </c>
      <c r="BK312" s="1066">
        <f t="shared" si="674"/>
        <v>0</v>
      </c>
      <c r="BP312" s="166" t="s">
        <v>181</v>
      </c>
      <c r="BQ312" s="167" t="s">
        <v>181</v>
      </c>
      <c r="BR312" s="167">
        <f>MIN(BI323)</f>
        <v>3</v>
      </c>
      <c r="BS312" s="167">
        <f t="shared" ref="BS312:BT312" si="691">MIN(BJ323)</f>
        <v>3</v>
      </c>
      <c r="BT312" s="167">
        <f t="shared" si="691"/>
        <v>3</v>
      </c>
    </row>
    <row r="313" spans="4:72" ht="15.75" thickBot="1" x14ac:dyDescent="0.3">
      <c r="D313" s="313"/>
      <c r="E313" s="663" t="s">
        <v>418</v>
      </c>
      <c r="F313" s="791"/>
      <c r="G313" s="791"/>
      <c r="H313" s="792"/>
      <c r="BH313" s="1186" t="s">
        <v>783</v>
      </c>
      <c r="BI313" s="258">
        <f t="shared" si="672"/>
        <v>3</v>
      </c>
      <c r="BJ313" s="258">
        <f t="shared" si="673"/>
        <v>3</v>
      </c>
      <c r="BK313" s="258">
        <f t="shared" si="674"/>
        <v>3</v>
      </c>
      <c r="BP313" s="166" t="s">
        <v>182</v>
      </c>
      <c r="BQ313" s="167" t="s">
        <v>182</v>
      </c>
      <c r="BR313" s="167">
        <f>MIN(BI324)</f>
        <v>2</v>
      </c>
      <c r="BS313" s="167">
        <f t="shared" ref="BS313:BT313" si="692">MIN(BJ324)</f>
        <v>2</v>
      </c>
      <c r="BT313" s="167">
        <f t="shared" si="692"/>
        <v>2</v>
      </c>
    </row>
    <row r="314" spans="4:72" ht="15.75" thickBot="1" x14ac:dyDescent="0.3">
      <c r="D314" s="166"/>
      <c r="E314" s="657" t="s">
        <v>418</v>
      </c>
      <c r="F314" s="785"/>
      <c r="G314" s="785"/>
      <c r="H314" s="786"/>
      <c r="BH314" s="1186" t="s">
        <v>784</v>
      </c>
      <c r="BI314" s="258">
        <f t="shared" si="672"/>
        <v>0</v>
      </c>
      <c r="BJ314" s="258">
        <f t="shared" si="673"/>
        <v>0</v>
      </c>
      <c r="BK314" s="258">
        <f t="shared" si="674"/>
        <v>0</v>
      </c>
      <c r="BP314" s="166" t="s">
        <v>183</v>
      </c>
      <c r="BQ314" s="167" t="s">
        <v>183</v>
      </c>
      <c r="BR314" s="167">
        <f>MIN(BI325)</f>
        <v>4</v>
      </c>
      <c r="BS314" s="167">
        <f t="shared" ref="BS314:BT314" si="693">MIN(BJ325)</f>
        <v>4</v>
      </c>
      <c r="BT314" s="167">
        <f t="shared" si="693"/>
        <v>4</v>
      </c>
    </row>
    <row r="315" spans="4:72" x14ac:dyDescent="0.25">
      <c r="D315" s="166"/>
      <c r="E315" s="657" t="s">
        <v>418</v>
      </c>
      <c r="F315" s="785"/>
      <c r="G315" s="785"/>
      <c r="H315" s="786"/>
      <c r="BH315" s="681" t="s">
        <v>788</v>
      </c>
      <c r="BI315" s="96">
        <f t="shared" si="672"/>
        <v>3</v>
      </c>
      <c r="BJ315" s="96">
        <f t="shared" si="673"/>
        <v>3</v>
      </c>
      <c r="BK315" s="96">
        <f t="shared" si="674"/>
        <v>3</v>
      </c>
      <c r="BP315" s="166" t="s">
        <v>185</v>
      </c>
      <c r="BQ315" s="167" t="s">
        <v>185</v>
      </c>
      <c r="BR315" s="167">
        <f>MIN(BI326)</f>
        <v>3</v>
      </c>
      <c r="BS315" s="167">
        <f t="shared" ref="BS315:BT315" si="694">MIN(BJ326)</f>
        <v>3</v>
      </c>
      <c r="BT315" s="167">
        <f t="shared" si="694"/>
        <v>3</v>
      </c>
    </row>
    <row r="316" spans="4:72" ht="15.75" thickBot="1" x14ac:dyDescent="0.3">
      <c r="D316" s="166"/>
      <c r="E316" s="657" t="s">
        <v>418</v>
      </c>
      <c r="F316" s="785"/>
      <c r="G316" s="785"/>
      <c r="H316" s="786"/>
      <c r="BH316" s="1186" t="s">
        <v>789</v>
      </c>
      <c r="BI316" s="258">
        <f t="shared" si="672"/>
        <v>3</v>
      </c>
      <c r="BJ316" s="258">
        <f t="shared" si="673"/>
        <v>3</v>
      </c>
      <c r="BK316" s="258">
        <f t="shared" si="674"/>
        <v>3</v>
      </c>
    </row>
    <row r="317" spans="4:72" ht="15.75" thickBot="1" x14ac:dyDescent="0.3">
      <c r="D317" s="192"/>
      <c r="E317" s="662" t="s">
        <v>418</v>
      </c>
      <c r="F317" s="789"/>
      <c r="G317" s="789"/>
      <c r="H317" s="790"/>
      <c r="BH317" s="1185" t="s">
        <v>790</v>
      </c>
      <c r="BI317" s="99">
        <f t="shared" si="672"/>
        <v>2</v>
      </c>
      <c r="BJ317" s="99">
        <f t="shared" si="673"/>
        <v>2</v>
      </c>
      <c r="BK317" s="99">
        <f t="shared" si="674"/>
        <v>2</v>
      </c>
    </row>
    <row r="318" spans="4:72" x14ac:dyDescent="0.25">
      <c r="D318" s="313"/>
      <c r="E318" s="177" t="s">
        <v>407</v>
      </c>
      <c r="F318" s="791">
        <v>1</v>
      </c>
      <c r="G318" s="791"/>
      <c r="H318" s="792"/>
      <c r="BH318" s="1185" t="s">
        <v>791</v>
      </c>
      <c r="BI318" s="99">
        <f t="shared" si="672"/>
        <v>4</v>
      </c>
      <c r="BJ318" s="99">
        <f t="shared" si="673"/>
        <v>4</v>
      </c>
      <c r="BK318" s="99">
        <f t="shared" si="674"/>
        <v>4</v>
      </c>
    </row>
    <row r="319" spans="4:72" x14ac:dyDescent="0.25">
      <c r="D319" s="166"/>
      <c r="E319" s="167" t="s">
        <v>1073</v>
      </c>
      <c r="F319" s="785">
        <v>0.5</v>
      </c>
      <c r="G319" s="785"/>
      <c r="H319" s="786"/>
      <c r="BH319" s="1185" t="s">
        <v>792</v>
      </c>
      <c r="BI319" s="99">
        <f t="shared" si="672"/>
        <v>0</v>
      </c>
      <c r="BJ319" s="99">
        <f t="shared" si="673"/>
        <v>0</v>
      </c>
      <c r="BK319" s="99">
        <f t="shared" si="674"/>
        <v>0</v>
      </c>
    </row>
    <row r="320" spans="4:72" ht="15.75" thickBot="1" x14ac:dyDescent="0.3">
      <c r="D320" s="229"/>
      <c r="E320" s="199" t="s">
        <v>409</v>
      </c>
      <c r="F320" s="787">
        <v>1</v>
      </c>
      <c r="G320" s="787"/>
      <c r="H320" s="788"/>
      <c r="BH320" s="1186" t="s">
        <v>988</v>
      </c>
      <c r="BI320" s="258">
        <f t="shared" si="672"/>
        <v>5</v>
      </c>
      <c r="BJ320" s="258">
        <f t="shared" si="673"/>
        <v>5</v>
      </c>
      <c r="BK320" s="258">
        <f t="shared" si="674"/>
        <v>5</v>
      </c>
    </row>
    <row r="321" spans="4:63" x14ac:dyDescent="0.25">
      <c r="D321" s="163"/>
      <c r="E321" s="661" t="s">
        <v>418</v>
      </c>
      <c r="F321" s="783"/>
      <c r="G321" s="783"/>
      <c r="H321" s="784"/>
      <c r="BH321" s="681" t="s">
        <v>793</v>
      </c>
      <c r="BI321" s="96">
        <f t="shared" si="672"/>
        <v>3</v>
      </c>
      <c r="BJ321" s="96">
        <f t="shared" si="673"/>
        <v>3</v>
      </c>
      <c r="BK321" s="96">
        <f t="shared" si="674"/>
        <v>3</v>
      </c>
    </row>
    <row r="322" spans="4:63" ht="15.75" thickBot="1" x14ac:dyDescent="0.3">
      <c r="D322" s="166"/>
      <c r="E322" s="657" t="s">
        <v>418</v>
      </c>
      <c r="F322" s="785"/>
      <c r="G322" s="785"/>
      <c r="H322" s="786"/>
      <c r="BH322" s="1186" t="s">
        <v>794</v>
      </c>
      <c r="BI322" s="258">
        <f t="shared" si="672"/>
        <v>9</v>
      </c>
      <c r="BJ322" s="258">
        <f t="shared" si="673"/>
        <v>9</v>
      </c>
      <c r="BK322" s="258">
        <f t="shared" si="674"/>
        <v>9</v>
      </c>
    </row>
    <row r="323" spans="4:63" ht="15.75" thickBot="1" x14ac:dyDescent="0.3">
      <c r="D323" s="166"/>
      <c r="E323" s="657" t="s">
        <v>418</v>
      </c>
      <c r="F323" s="785"/>
      <c r="G323" s="785"/>
      <c r="H323" s="786"/>
      <c r="BH323" s="1187" t="s">
        <v>989</v>
      </c>
      <c r="BI323" s="1066">
        <f t="shared" si="672"/>
        <v>3</v>
      </c>
      <c r="BJ323" s="1066">
        <f t="shared" si="673"/>
        <v>3</v>
      </c>
      <c r="BK323" s="1066">
        <f t="shared" si="674"/>
        <v>3</v>
      </c>
    </row>
    <row r="324" spans="4:63" ht="15.75" thickBot="1" x14ac:dyDescent="0.3">
      <c r="D324" s="166"/>
      <c r="E324" s="167" t="str">
        <f>AIS_NA</f>
        <v>N/A</v>
      </c>
      <c r="F324" s="785">
        <v>1</v>
      </c>
      <c r="G324" s="785"/>
      <c r="H324" s="786"/>
      <c r="BH324" s="1186" t="s">
        <v>800</v>
      </c>
      <c r="BI324" s="258">
        <f t="shared" si="672"/>
        <v>2</v>
      </c>
      <c r="BJ324" s="258">
        <f t="shared" si="673"/>
        <v>2</v>
      </c>
      <c r="BK324" s="258">
        <f t="shared" si="674"/>
        <v>2</v>
      </c>
    </row>
    <row r="325" spans="4:63" ht="15.75" thickBot="1" x14ac:dyDescent="0.3">
      <c r="D325" s="229"/>
      <c r="E325" s="199" t="s">
        <v>13</v>
      </c>
      <c r="F325" s="787">
        <v>1</v>
      </c>
      <c r="G325" s="787"/>
      <c r="H325" s="788"/>
      <c r="BH325" s="1186" t="s">
        <v>806</v>
      </c>
      <c r="BI325" s="258">
        <f t="shared" si="672"/>
        <v>4</v>
      </c>
      <c r="BJ325" s="258">
        <f t="shared" si="673"/>
        <v>4</v>
      </c>
      <c r="BK325" s="258">
        <f t="shared" si="674"/>
        <v>4</v>
      </c>
    </row>
    <row r="326" spans="4:63" ht="15.75" thickBot="1" x14ac:dyDescent="0.3">
      <c r="BH326" s="1186" t="s">
        <v>811</v>
      </c>
      <c r="BI326" s="258">
        <f t="shared" si="672"/>
        <v>3</v>
      </c>
      <c r="BJ326" s="258">
        <f t="shared" si="673"/>
        <v>3</v>
      </c>
      <c r="BK326" s="258">
        <f t="shared" si="674"/>
        <v>3</v>
      </c>
    </row>
    <row r="334" spans="4:63" x14ac:dyDescent="0.25">
      <c r="E334" s="137" t="s">
        <v>577</v>
      </c>
    </row>
    <row r="336" spans="4:63" x14ac:dyDescent="0.25">
      <c r="E336" s="96" t="s">
        <v>544</v>
      </c>
    </row>
    <row r="337" spans="5:71" x14ac:dyDescent="0.25">
      <c r="E337" s="96" t="s">
        <v>541</v>
      </c>
    </row>
    <row r="338" spans="5:71" x14ac:dyDescent="0.25">
      <c r="E338" s="96" t="s">
        <v>548</v>
      </c>
    </row>
    <row r="339" spans="5:71" x14ac:dyDescent="0.25">
      <c r="E339" s="96" t="s">
        <v>542</v>
      </c>
    </row>
    <row r="340" spans="5:71" x14ac:dyDescent="0.25">
      <c r="E340" s="96" t="s">
        <v>558</v>
      </c>
      <c r="BP340" s="96" t="s">
        <v>977</v>
      </c>
      <c r="BR340" s="96" t="s">
        <v>978</v>
      </c>
      <c r="BS340" s="96" t="str">
        <f>ADPT</f>
        <v>New Construction (fully fitted)</v>
      </c>
    </row>
    <row r="341" spans="5:71" x14ac:dyDescent="0.25">
      <c r="E341" s="96" t="s">
        <v>560</v>
      </c>
      <c r="BO341" s="1134"/>
      <c r="BP341" s="1134" t="s">
        <v>973</v>
      </c>
      <c r="BQ341" s="1134" t="s">
        <v>974</v>
      </c>
      <c r="BR341" s="1134" t="s">
        <v>975</v>
      </c>
      <c r="BS341" s="1134" t="s">
        <v>976</v>
      </c>
    </row>
    <row r="342" spans="5:71" x14ac:dyDescent="0.25">
      <c r="E342" s="96" t="s">
        <v>561</v>
      </c>
      <c r="BO342" s="49" t="s">
        <v>972</v>
      </c>
      <c r="BP342" s="1133">
        <v>0.13</v>
      </c>
      <c r="BQ342" s="1133">
        <v>0.13</v>
      </c>
      <c r="BR342" s="1133">
        <v>0.13</v>
      </c>
      <c r="BS342" s="1135">
        <f>IF($BS$340='Assessment Details'!$Q$12,Poeng!BQ342,IF(Poeng!$BS$340=ADPT02,Poeng!BR342,Poeng!BP342))</f>
        <v>0.13</v>
      </c>
    </row>
    <row r="343" spans="5:71" x14ac:dyDescent="0.25">
      <c r="E343" s="96" t="s">
        <v>570</v>
      </c>
      <c r="BO343" s="49" t="s">
        <v>63</v>
      </c>
      <c r="BP343" s="1133">
        <v>0.16</v>
      </c>
      <c r="BQ343" s="1133">
        <v>0.09</v>
      </c>
      <c r="BR343" s="1133">
        <v>0.08</v>
      </c>
      <c r="BS343" s="1135">
        <f>IF($BS$340='Assessment Details'!$Q$12,Poeng!BQ343,IF(Poeng!$BS$340=ADPT02,Poeng!BR343,Poeng!BP343))</f>
        <v>0.16</v>
      </c>
    </row>
    <row r="344" spans="5:71" x14ac:dyDescent="0.25">
      <c r="E344" s="96" t="s">
        <v>571</v>
      </c>
      <c r="BO344" s="49" t="s">
        <v>66</v>
      </c>
      <c r="BP344" s="1133">
        <v>0.14000000000000001</v>
      </c>
      <c r="BQ344" s="1133">
        <v>0.12</v>
      </c>
      <c r="BR344" s="1133">
        <v>7.0000000000000007E-2</v>
      </c>
      <c r="BS344" s="1135">
        <f>IF($BS$340='Assessment Details'!$Q$12,Poeng!BQ344,IF(Poeng!$BS$340=ADPT02,Poeng!BR344,Poeng!BP344))</f>
        <v>0.14000000000000001</v>
      </c>
    </row>
    <row r="345" spans="5:71" x14ac:dyDescent="0.25">
      <c r="E345" s="96" t="s">
        <v>572</v>
      </c>
      <c r="BO345" s="49" t="s">
        <v>67</v>
      </c>
      <c r="BP345" s="1133">
        <v>0.1</v>
      </c>
      <c r="BQ345" s="1133">
        <v>0.12</v>
      </c>
      <c r="BR345" s="1133">
        <v>0.15</v>
      </c>
      <c r="BS345" s="1135">
        <f>IF($BS$340='Assessment Details'!$Q$12,Poeng!BQ345,IF(Poeng!$BS$340=ADPT02,Poeng!BR345,Poeng!BP345))</f>
        <v>0.1</v>
      </c>
    </row>
    <row r="346" spans="5:71" x14ac:dyDescent="0.25">
      <c r="E346" s="96" t="s">
        <v>565</v>
      </c>
      <c r="BO346" s="49" t="s">
        <v>68</v>
      </c>
      <c r="BP346" s="1133">
        <v>0.04</v>
      </c>
      <c r="BQ346" s="1133">
        <v>0.04</v>
      </c>
      <c r="BR346" s="1133">
        <v>0.01</v>
      </c>
      <c r="BS346" s="1135">
        <f>IF($BS$340='Assessment Details'!$Q$12,Poeng!BQ346,IF(Poeng!$BS$340=ADPT02,Poeng!BR346,Poeng!BP346))</f>
        <v>0.04</v>
      </c>
    </row>
    <row r="347" spans="5:71" x14ac:dyDescent="0.25">
      <c r="E347" s="96" t="s">
        <v>1074</v>
      </c>
      <c r="BO347" s="49" t="s">
        <v>60</v>
      </c>
      <c r="BP347" s="1133">
        <v>0.17</v>
      </c>
      <c r="BQ347" s="1133">
        <v>0.2</v>
      </c>
      <c r="BR347" s="1133">
        <v>0.24</v>
      </c>
      <c r="BS347" s="1135">
        <f>IF($BS$340='Assessment Details'!$Q$12,Poeng!BQ347,IF(Poeng!$BS$340=ADPT02,Poeng!BR347,Poeng!BP347))</f>
        <v>0.17</v>
      </c>
    </row>
    <row r="348" spans="5:71" x14ac:dyDescent="0.25">
      <c r="BO348" s="49" t="s">
        <v>69</v>
      </c>
      <c r="BP348" s="1133">
        <v>7.0000000000000007E-2</v>
      </c>
      <c r="BQ348" s="1133">
        <v>0.08</v>
      </c>
      <c r="BR348" s="1133">
        <v>0.09</v>
      </c>
      <c r="BS348" s="1135">
        <f>IF($BS$340='Assessment Details'!$Q$12,Poeng!BQ348,IF(Poeng!$BS$340=ADPT02,Poeng!BR348,Poeng!BP348))</f>
        <v>7.0000000000000007E-2</v>
      </c>
    </row>
    <row r="349" spans="5:71" x14ac:dyDescent="0.25">
      <c r="BO349" s="49" t="s">
        <v>70</v>
      </c>
      <c r="BP349" s="1133">
        <v>0.15</v>
      </c>
      <c r="BQ349" s="1133">
        <v>0.17</v>
      </c>
      <c r="BR349" s="1133">
        <v>0.21</v>
      </c>
      <c r="BS349" s="1135">
        <f>IF($BS$340='Assessment Details'!$Q$12,Poeng!BQ349,IF(Poeng!$BS$340=ADPT02,Poeng!BR349,Poeng!BP349))</f>
        <v>0.15</v>
      </c>
    </row>
    <row r="350" spans="5:71" x14ac:dyDescent="0.25">
      <c r="BO350" s="49" t="s">
        <v>71</v>
      </c>
      <c r="BP350" s="1133">
        <v>0.04</v>
      </c>
      <c r="BQ350" s="1133">
        <v>0.05</v>
      </c>
      <c r="BR350" s="1133">
        <v>0.02</v>
      </c>
      <c r="BS350" s="1135">
        <f>IF($BS$340='Assessment Details'!$Q$12,Poeng!BQ350,IF(Poeng!$BS$340=ADPT02,Poeng!BR350,Poeng!BP350))</f>
        <v>0.04</v>
      </c>
    </row>
    <row r="351" spans="5:71" x14ac:dyDescent="0.25">
      <c r="BO351" s="49" t="s">
        <v>72</v>
      </c>
      <c r="BP351" s="1133">
        <v>0.1</v>
      </c>
      <c r="BQ351" s="1133">
        <v>0.1</v>
      </c>
      <c r="BR351" s="1133">
        <v>0.1</v>
      </c>
      <c r="BS351" s="1135">
        <f>IF($BS$340='Assessment Details'!$Q$12,Poeng!BQ351,IF(Poeng!$BS$340=ADPT02,Poeng!BR351,Poeng!BP351))</f>
        <v>0.1</v>
      </c>
    </row>
    <row r="352" spans="5:71" x14ac:dyDescent="0.25">
      <c r="BO352" s="49" t="s">
        <v>73</v>
      </c>
      <c r="BP352" s="1133">
        <v>0.1</v>
      </c>
      <c r="BQ352" s="1133">
        <v>0.1</v>
      </c>
      <c r="BR352" s="1133">
        <v>0.1</v>
      </c>
      <c r="BS352" s="1135">
        <f>IF($BS$340='Assessment Details'!$Q$12,Poeng!BQ352,IF(Poeng!$BS$340=ADPT02,Poeng!BR352,Poeng!BP352))</f>
        <v>0.1</v>
      </c>
    </row>
    <row r="353" spans="9:71" x14ac:dyDescent="0.25">
      <c r="BO353" s="1044"/>
      <c r="BP353" s="1044"/>
      <c r="BQ353" s="1044"/>
      <c r="BR353" s="1044"/>
      <c r="BS353" s="1044"/>
    </row>
    <row r="354" spans="9:71" x14ac:dyDescent="0.25">
      <c r="BO354" s="1044"/>
      <c r="BP354" s="1044"/>
      <c r="BQ354" s="1044"/>
      <c r="BR354" s="1044"/>
      <c r="BS354" s="1044"/>
    </row>
    <row r="355" spans="9:71" x14ac:dyDescent="0.25">
      <c r="BO355" s="1044"/>
      <c r="BP355" s="1044"/>
      <c r="BQ355" s="1044"/>
      <c r="BR355" s="1044"/>
      <c r="BS355" s="1044"/>
    </row>
    <row r="359" spans="9:71" x14ac:dyDescent="0.25">
      <c r="I359" s="981" t="s">
        <v>383</v>
      </c>
    </row>
    <row r="360" spans="9:71" x14ac:dyDescent="0.25">
      <c r="I360" s="981" t="s">
        <v>900</v>
      </c>
    </row>
    <row r="361" spans="9:71" x14ac:dyDescent="0.25">
      <c r="I361" s="981" t="s">
        <v>383</v>
      </c>
    </row>
    <row r="362" spans="9:71" x14ac:dyDescent="0.25">
      <c r="I362" s="981" t="s">
        <v>901</v>
      </c>
    </row>
    <row r="363" spans="9:71" x14ac:dyDescent="0.25">
      <c r="I363" s="981" t="s">
        <v>861</v>
      </c>
    </row>
    <row r="364" spans="9:71" x14ac:dyDescent="0.25">
      <c r="I364" s="981" t="s">
        <v>902</v>
      </c>
    </row>
    <row r="365" spans="9:71" x14ac:dyDescent="0.25">
      <c r="I365" s="981" t="s">
        <v>903</v>
      </c>
    </row>
    <row r="366" spans="9:71" x14ac:dyDescent="0.25">
      <c r="I366" s="981" t="s">
        <v>904</v>
      </c>
    </row>
    <row r="367" spans="9:71" x14ac:dyDescent="0.25">
      <c r="I367" s="981" t="s">
        <v>905</v>
      </c>
    </row>
    <row r="368" spans="9:71" x14ac:dyDescent="0.25">
      <c r="I368" s="981" t="s">
        <v>906</v>
      </c>
    </row>
    <row r="369" spans="9:9" x14ac:dyDescent="0.25">
      <c r="I369" s="981" t="s">
        <v>389</v>
      </c>
    </row>
    <row r="370" spans="9:9" x14ac:dyDescent="0.25">
      <c r="I370" s="981" t="s">
        <v>907</v>
      </c>
    </row>
    <row r="371" spans="9:9" x14ac:dyDescent="0.25">
      <c r="I371" s="981" t="s">
        <v>908</v>
      </c>
    </row>
  </sheetData>
  <sheetProtection algorithmName="SHA-512" hashValue="gGFZff+x0DIREANL98a1p14BmUdklvqwKioyQtH/xocXvbKvKbMzZsL2dCIbbz0JzsiEv0e+cMOhwazwBlpa0g==" saltValue="Worp2ngja1E36yyAcWgP5Q==" spinCount="100000" sheet="1" selectLockedCells="1"/>
  <autoFilter ref="A8:CL277" xr:uid="{00000000-0001-0000-0300-00000000000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20" showButton="0"/>
    <filterColumn colId="21" showButton="0"/>
    <filterColumn colId="22" showButton="0"/>
    <filterColumn colId="23" showButton="0"/>
    <filterColumn colId="24" showButton="0"/>
    <filterColumn colId="38" showButton="0"/>
    <filterColumn colId="39" showButton="0"/>
    <filterColumn colId="40" showButton="0"/>
    <filterColumn colId="41" showButton="0"/>
    <filterColumn colId="44" showButton="0"/>
    <filterColumn colId="45" showButton="0"/>
    <filterColumn colId="46" showButton="0"/>
    <filterColumn colId="47" showButton="0"/>
    <filterColumn colId="50" showButton="0"/>
    <filterColumn colId="51"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6" showButton="0"/>
    <filterColumn colId="67" showButton="0"/>
  </autoFilter>
  <sortState xmlns:xlrd2="http://schemas.microsoft.com/office/spreadsheetml/2017/richdata2" ref="E310:F393">
    <sortCondition ref="F310:F393"/>
  </sortState>
  <mergeCells count="14">
    <mergeCell ref="BO8:BQ8"/>
    <mergeCell ref="BJ8:BL8"/>
    <mergeCell ref="BD8:BF8"/>
    <mergeCell ref="BG8:BI8"/>
    <mergeCell ref="AX258:BC258"/>
    <mergeCell ref="AX259:BC259"/>
    <mergeCell ref="AE7:AG7"/>
    <mergeCell ref="AX260:BC260"/>
    <mergeCell ref="AX261:BC261"/>
    <mergeCell ref="F8:R8"/>
    <mergeCell ref="U8:Z8"/>
    <mergeCell ref="AM8:AQ8"/>
    <mergeCell ref="AS8:AW8"/>
    <mergeCell ref="AY8:BC8"/>
  </mergeCells>
  <phoneticPr fontId="52" type="noConversion"/>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N308"/>
  <sheetViews>
    <sheetView zoomScaleNormal="100" workbookViewId="0">
      <selection activeCell="J10" sqref="J10"/>
    </sheetView>
  </sheetViews>
  <sheetFormatPr defaultColWidth="9.140625" defaultRowHeight="15" x14ac:dyDescent="0.25"/>
  <cols>
    <col min="1" max="1" width="3" style="420" customWidth="1"/>
    <col min="2" max="2" width="23.28515625" style="420" customWidth="1"/>
    <col min="3" max="3" width="11" style="420" customWidth="1"/>
    <col min="4" max="4" width="9.7109375" style="420" customWidth="1"/>
    <col min="5" max="5" width="11.28515625" style="420" customWidth="1"/>
    <col min="6" max="6" width="10.28515625" style="420" customWidth="1"/>
    <col min="7" max="7" width="10.5703125" style="420" customWidth="1"/>
    <col min="8" max="8" width="11" style="420" customWidth="1"/>
    <col min="9" max="9" width="11.140625" style="420" customWidth="1"/>
    <col min="10" max="10" width="13" style="420" customWidth="1"/>
    <col min="11" max="11" width="16.5703125" style="420" customWidth="1"/>
    <col min="12" max="12" width="13.28515625" style="420" customWidth="1"/>
    <col min="13" max="13" width="15" style="420" customWidth="1"/>
    <col min="14" max="14" width="13.5703125" style="420" customWidth="1"/>
    <col min="15" max="15" width="13.140625" style="420" customWidth="1"/>
    <col min="16" max="16" width="8" style="420" customWidth="1"/>
    <col min="17" max="17" width="16.5703125" style="420" customWidth="1"/>
    <col min="18" max="18" width="9.140625" style="420" customWidth="1"/>
    <col min="19" max="39" width="9.140625" style="420" hidden="1" customWidth="1"/>
    <col min="40" max="42" width="9.140625" style="420" customWidth="1"/>
    <col min="43" max="16384" width="9.140625" style="420"/>
  </cols>
  <sheetData>
    <row r="1" spans="1:40" x14ac:dyDescent="0.25">
      <c r="A1" s="419"/>
      <c r="B1" s="419"/>
      <c r="C1" s="419"/>
      <c r="D1" s="419"/>
      <c r="E1" s="419"/>
      <c r="F1" s="419"/>
      <c r="G1" s="419"/>
      <c r="H1" s="419"/>
      <c r="I1" s="419"/>
      <c r="J1" s="419"/>
      <c r="K1" s="419"/>
      <c r="L1" s="419"/>
      <c r="M1" s="419"/>
      <c r="N1" s="419"/>
      <c r="O1" s="419"/>
      <c r="P1" s="419"/>
      <c r="Q1" s="419"/>
      <c r="R1" s="419"/>
      <c r="S1" s="419"/>
    </row>
    <row r="2" spans="1:40" ht="42" customHeight="1" x14ac:dyDescent="0.25">
      <c r="A2" s="419"/>
      <c r="B2" s="726" t="s">
        <v>970</v>
      </c>
      <c r="C2" s="421"/>
      <c r="D2" s="421"/>
      <c r="E2" s="421"/>
      <c r="F2" s="421"/>
      <c r="G2" s="421"/>
      <c r="H2" s="422"/>
      <c r="I2" s="422"/>
      <c r="J2" s="422"/>
      <c r="K2" s="422"/>
      <c r="L2" s="423"/>
      <c r="M2" s="422"/>
      <c r="N2" s="632" t="str">
        <f>IF('Manuell filtrering og justering'!I2='Manuell filtrering og justering'!J2,"Bespoke","")</f>
        <v/>
      </c>
      <c r="O2" s="632" t="str">
        <f>IF('Manuell filtrering og justering'!J2='Manuell filtrering og justering'!K2,"Bespoke","")</f>
        <v/>
      </c>
      <c r="P2" s="423"/>
      <c r="Q2" s="419"/>
      <c r="R2" s="419"/>
      <c r="S2" s="419"/>
    </row>
    <row r="3" spans="1:40" ht="15" customHeight="1" x14ac:dyDescent="0.25">
      <c r="A3" s="419"/>
      <c r="B3" s="424"/>
      <c r="C3" s="419"/>
      <c r="D3" s="419"/>
      <c r="E3" s="419"/>
      <c r="F3" s="419"/>
      <c r="G3" s="419"/>
      <c r="H3" s="419"/>
      <c r="I3" s="419"/>
      <c r="J3" s="419"/>
      <c r="K3" s="419"/>
      <c r="L3" s="419"/>
      <c r="M3" s="419"/>
      <c r="N3" s="425"/>
      <c r="O3" s="419"/>
      <c r="P3" s="419"/>
      <c r="Q3" s="419"/>
      <c r="R3" s="419"/>
      <c r="S3" s="419"/>
    </row>
    <row r="4" spans="1:40" ht="18.75" x14ac:dyDescent="0.3">
      <c r="A4" s="419"/>
      <c r="B4" s="426" t="s">
        <v>61</v>
      </c>
      <c r="C4" s="427"/>
      <c r="D4" s="428"/>
      <c r="E4" s="428"/>
      <c r="F4" s="428"/>
      <c r="G4" s="428"/>
      <c r="H4" s="428"/>
      <c r="I4" s="428"/>
      <c r="J4" s="428"/>
      <c r="K4" s="428"/>
      <c r="L4" s="428"/>
      <c r="M4" s="428"/>
      <c r="N4" s="428"/>
      <c r="O4" s="428"/>
      <c r="P4" s="428"/>
      <c r="Q4" s="419"/>
      <c r="R4" s="419"/>
      <c r="S4" s="419"/>
    </row>
    <row r="5" spans="1:40" x14ac:dyDescent="0.25">
      <c r="A5" s="419"/>
      <c r="B5" s="419"/>
      <c r="C5" s="419"/>
      <c r="D5" s="419"/>
      <c r="E5" s="419"/>
      <c r="F5" s="419"/>
      <c r="G5" s="419"/>
      <c r="H5" s="419"/>
      <c r="I5" s="419"/>
      <c r="J5" s="419"/>
      <c r="K5" s="419"/>
      <c r="L5" s="419"/>
      <c r="M5" s="419"/>
      <c r="N5" s="419"/>
      <c r="O5" s="419"/>
      <c r="P5" s="419"/>
      <c r="Q5" s="419"/>
      <c r="R5" s="419"/>
      <c r="S5" s="419"/>
    </row>
    <row r="6" spans="1:40" ht="15.75" x14ac:dyDescent="0.25">
      <c r="A6" s="419"/>
      <c r="B6" s="429"/>
      <c r="C6" s="430" t="s">
        <v>21</v>
      </c>
      <c r="D6" s="431" t="str">
        <f>IF(ADBN="","",ADBN)</f>
        <v/>
      </c>
      <c r="E6" s="432"/>
      <c r="F6" s="432"/>
      <c r="G6" s="432"/>
      <c r="H6" s="432"/>
      <c r="I6" s="433"/>
      <c r="J6" s="439"/>
      <c r="K6" s="434"/>
      <c r="L6" s="435"/>
      <c r="M6" s="434" t="str">
        <f>"Pre-Assessment Estimator Version: "&amp;TVC_current_version&amp;". Date: "</f>
        <v xml:space="preserve">Pre-Assessment Estimator Version: 1.3. Date: </v>
      </c>
      <c r="N6" s="436">
        <f>TVC_current_date</f>
        <v>44736</v>
      </c>
      <c r="O6" s="419"/>
      <c r="P6" s="419"/>
      <c r="Q6" s="419"/>
      <c r="R6" s="419"/>
      <c r="S6" s="419"/>
    </row>
    <row r="7" spans="1:40" x14ac:dyDescent="0.25">
      <c r="A7" s="419"/>
      <c r="B7" s="439"/>
      <c r="C7" s="439"/>
      <c r="D7" s="439"/>
      <c r="E7" s="439"/>
      <c r="F7" s="439"/>
      <c r="G7" s="439"/>
      <c r="H7" s="439"/>
      <c r="I7" s="439"/>
      <c r="J7" s="439"/>
      <c r="K7" s="439"/>
      <c r="L7" s="419"/>
      <c r="M7" s="419"/>
      <c r="N7" s="419"/>
      <c r="O7" s="419"/>
      <c r="P7" s="419"/>
      <c r="Q7" s="419"/>
      <c r="R7" s="419"/>
      <c r="S7" s="419"/>
    </row>
    <row r="8" spans="1:40" ht="15.75" x14ac:dyDescent="0.25">
      <c r="A8" s="419"/>
      <c r="B8" s="437"/>
      <c r="C8" s="438"/>
      <c r="D8" s="1359" t="s">
        <v>217</v>
      </c>
      <c r="E8" s="1360"/>
      <c r="F8" s="1351" t="s">
        <v>285</v>
      </c>
      <c r="G8" s="1352"/>
      <c r="H8" s="1351" t="s">
        <v>286</v>
      </c>
      <c r="I8" s="1352"/>
      <c r="J8" s="439"/>
      <c r="K8" s="439"/>
      <c r="L8" s="419"/>
      <c r="M8" s="419"/>
      <c r="N8" s="419"/>
      <c r="O8" s="419"/>
      <c r="P8" s="419"/>
      <c r="Q8" s="419"/>
      <c r="R8" s="419"/>
      <c r="S8" s="419"/>
    </row>
    <row r="9" spans="1:40" ht="15.75" x14ac:dyDescent="0.25">
      <c r="A9" s="439"/>
      <c r="B9" s="440"/>
      <c r="C9" s="441" t="s">
        <v>302</v>
      </c>
      <c r="D9" s="1349" t="s">
        <v>12</v>
      </c>
      <c r="E9" s="1349"/>
      <c r="F9" s="1349" t="s">
        <v>13</v>
      </c>
      <c r="G9" s="1349"/>
      <c r="H9" s="1349" t="s">
        <v>13</v>
      </c>
      <c r="I9" s="1349"/>
      <c r="J9" s="439"/>
      <c r="K9" s="439"/>
      <c r="L9" s="439"/>
      <c r="M9" s="439"/>
      <c r="N9" s="439"/>
      <c r="O9" s="439"/>
      <c r="P9" s="439"/>
      <c r="Q9" s="439"/>
      <c r="Z9" s="442"/>
      <c r="AA9" s="442"/>
      <c r="AB9" s="442"/>
      <c r="AC9" s="442"/>
      <c r="AD9" s="442"/>
      <c r="AE9" s="442"/>
      <c r="AF9" s="442"/>
      <c r="AG9" s="442"/>
      <c r="AH9" s="442"/>
      <c r="AI9" s="442"/>
      <c r="AJ9" s="442"/>
      <c r="AK9" s="442"/>
      <c r="AL9" s="442"/>
      <c r="AM9" s="442"/>
      <c r="AN9" s="442"/>
    </row>
    <row r="10" spans="1:40" ht="15.75" x14ac:dyDescent="0.25">
      <c r="A10" s="419"/>
      <c r="B10" s="443"/>
      <c r="C10" s="444" t="s">
        <v>314</v>
      </c>
      <c r="D10" s="1361" t="str">
        <f>BP_BREEAMRating</f>
        <v>Unclassified</v>
      </c>
      <c r="E10" s="1362"/>
      <c r="F10" s="1353" t="str">
        <f>Poeng!BH263</f>
        <v>Unclassified</v>
      </c>
      <c r="G10" s="1354"/>
      <c r="H10" s="1353" t="str">
        <f>Poeng!BK263</f>
        <v>Unclassified</v>
      </c>
      <c r="I10" s="1354"/>
      <c r="J10" s="439"/>
      <c r="K10" s="439" t="str">
        <f>IF(OR(Poeng!BF263=1,Poeng!BI263=1,Poeng!BL263=1),Poeng!AX268,"")</f>
        <v/>
      </c>
      <c r="L10" s="439"/>
      <c r="M10" s="439"/>
      <c r="N10" s="439"/>
      <c r="O10" s="439"/>
      <c r="P10" s="439"/>
      <c r="Q10" s="439"/>
      <c r="Z10" s="1348"/>
      <c r="AA10" s="1348"/>
      <c r="AB10" s="1348"/>
      <c r="AC10" s="1348"/>
      <c r="AD10" s="1348"/>
      <c r="AE10" s="1348"/>
      <c r="AF10" s="1348"/>
      <c r="AG10" s="1348"/>
      <c r="AH10" s="1348"/>
      <c r="AI10" s="1348"/>
      <c r="AJ10" s="1348"/>
      <c r="AK10" s="1348"/>
      <c r="AL10" s="1348"/>
      <c r="AM10" s="1348"/>
      <c r="AN10" s="1348"/>
    </row>
    <row r="11" spans="1:40" ht="18" customHeight="1" x14ac:dyDescent="0.25">
      <c r="A11" s="419"/>
      <c r="B11" s="445"/>
      <c r="C11" s="446" t="s">
        <v>86</v>
      </c>
      <c r="D11" s="1363">
        <f>Score_Initial</f>
        <v>0</v>
      </c>
      <c r="E11" s="1364"/>
      <c r="F11" s="1355">
        <f>Poeng!BG261</f>
        <v>0</v>
      </c>
      <c r="G11" s="1356"/>
      <c r="H11" s="1355">
        <f>Poeng!BJ261</f>
        <v>0</v>
      </c>
      <c r="I11" s="1356"/>
      <c r="J11" s="439"/>
      <c r="K11" s="439"/>
      <c r="L11" s="439"/>
      <c r="M11" s="439"/>
      <c r="N11" s="439"/>
      <c r="O11" s="439"/>
      <c r="P11" s="439"/>
      <c r="Q11" s="439"/>
      <c r="Z11" s="1348"/>
      <c r="AA11" s="1348"/>
      <c r="AB11" s="1348"/>
      <c r="AC11" s="1348"/>
      <c r="AD11" s="1348"/>
      <c r="AE11" s="1348"/>
      <c r="AF11" s="1348"/>
      <c r="AG11" s="1348"/>
      <c r="AH11" s="1348"/>
      <c r="AI11" s="1348"/>
      <c r="AJ11" s="1348"/>
      <c r="AK11" s="1348"/>
      <c r="AL11" s="1348"/>
      <c r="AM11" s="1348"/>
      <c r="AN11" s="1348"/>
    </row>
    <row r="12" spans="1:40" ht="18" customHeight="1" x14ac:dyDescent="0.25">
      <c r="A12" s="419"/>
      <c r="B12" s="1142"/>
      <c r="C12" s="1143" t="s">
        <v>81</v>
      </c>
      <c r="D12" s="1363" t="str">
        <f>BP_MinStandards</f>
        <v>Unclassified</v>
      </c>
      <c r="E12" s="1364"/>
      <c r="F12" s="1355" t="str">
        <f>Poeng!BH258</f>
        <v>Unclassified</v>
      </c>
      <c r="G12" s="1356"/>
      <c r="H12" s="1355" t="str">
        <f>Poeng!BK258</f>
        <v>Unclassified</v>
      </c>
      <c r="I12" s="1356"/>
      <c r="J12" s="439"/>
      <c r="K12" s="439"/>
      <c r="L12" s="439"/>
      <c r="M12" s="439"/>
      <c r="N12" s="439"/>
      <c r="O12" s="439"/>
      <c r="P12" s="439"/>
      <c r="Q12" s="439"/>
      <c r="Z12" s="1348"/>
      <c r="AA12" s="1348"/>
      <c r="AB12" s="1348"/>
      <c r="AC12" s="1348"/>
      <c r="AD12" s="1348"/>
      <c r="AE12" s="1348"/>
      <c r="AF12" s="1348"/>
      <c r="AG12" s="1348"/>
      <c r="AH12" s="1348"/>
      <c r="AI12" s="1348"/>
      <c r="AJ12" s="1348"/>
      <c r="AK12" s="1348"/>
      <c r="AL12" s="1348"/>
      <c r="AM12" s="1348"/>
      <c r="AN12" s="1348"/>
    </row>
    <row r="13" spans="1:40" ht="15.75" x14ac:dyDescent="0.25">
      <c r="A13" s="419"/>
      <c r="B13" s="447"/>
      <c r="C13" s="1154" t="str">
        <f>'Pre-Assessment Estimator'!G7</f>
        <v xml:space="preserve">Requirements for EU taxonomy </v>
      </c>
      <c r="D13" s="1365" t="str">
        <f>Poeng!BR257</f>
        <v>No</v>
      </c>
      <c r="E13" s="1366"/>
      <c r="F13" s="1357" t="str">
        <f>Poeng!BS257</f>
        <v>No</v>
      </c>
      <c r="G13" s="1358"/>
      <c r="H13" s="1357" t="str">
        <f>Poeng!BT257</f>
        <v>No</v>
      </c>
      <c r="I13" s="1358"/>
      <c r="J13" s="439"/>
      <c r="K13" s="439"/>
      <c r="L13" s="439"/>
      <c r="M13" s="439"/>
      <c r="N13" s="439"/>
      <c r="O13" s="439"/>
      <c r="P13" s="439"/>
      <c r="Q13" s="439"/>
      <c r="Z13" s="1348"/>
      <c r="AA13" s="1348"/>
      <c r="AB13" s="1348"/>
      <c r="AC13" s="1348"/>
      <c r="AD13" s="1348"/>
      <c r="AE13" s="1348"/>
      <c r="AF13" s="1348"/>
      <c r="AG13" s="1348"/>
      <c r="AH13" s="1348"/>
      <c r="AI13" s="1348"/>
      <c r="AJ13" s="1348"/>
      <c r="AK13" s="1348"/>
      <c r="AL13" s="1348"/>
      <c r="AM13" s="1348"/>
      <c r="AN13" s="1348"/>
    </row>
    <row r="14" spans="1:40" ht="42" customHeight="1" x14ac:dyDescent="0.3">
      <c r="A14" s="419"/>
      <c r="B14" s="426" t="s">
        <v>62</v>
      </c>
      <c r="C14" s="427"/>
      <c r="D14" s="428"/>
      <c r="E14" s="428"/>
      <c r="F14" s="428"/>
      <c r="G14" s="428"/>
      <c r="H14" s="428"/>
      <c r="I14" s="426" t="s">
        <v>81</v>
      </c>
      <c r="J14" s="428"/>
      <c r="K14" s="428"/>
      <c r="L14" s="724"/>
      <c r="M14" s="428"/>
      <c r="N14" s="428"/>
      <c r="O14" s="499"/>
      <c r="P14" s="499"/>
      <c r="Q14" s="419"/>
      <c r="R14" s="419"/>
      <c r="S14" s="419"/>
    </row>
    <row r="15" spans="1:40" ht="15" customHeight="1" x14ac:dyDescent="0.25">
      <c r="A15" s="419"/>
      <c r="B15" s="448"/>
      <c r="C15" s="448"/>
      <c r="D15" s="448"/>
      <c r="E15" s="448"/>
      <c r="F15" s="448"/>
      <c r="G15" s="448"/>
      <c r="H15" s="448"/>
      <c r="I15" s="448"/>
      <c r="J15" s="448"/>
      <c r="K15" s="439"/>
      <c r="L15" s="419"/>
      <c r="M15" s="419"/>
      <c r="N15" s="419"/>
      <c r="O15" s="419"/>
      <c r="P15" s="419"/>
      <c r="Q15" s="419"/>
      <c r="R15" s="419"/>
      <c r="S15" s="419"/>
    </row>
    <row r="16" spans="1:40" ht="15" customHeight="1" x14ac:dyDescent="0.25">
      <c r="A16" s="419"/>
      <c r="B16" s="449"/>
      <c r="C16" s="449"/>
      <c r="D16" s="449"/>
      <c r="E16" s="449"/>
      <c r="F16" s="449"/>
      <c r="G16" s="449"/>
      <c r="H16" s="449"/>
      <c r="I16" s="449"/>
      <c r="J16" s="449"/>
      <c r="K16" s="439"/>
      <c r="L16" s="419"/>
      <c r="M16" s="419"/>
      <c r="N16" s="419"/>
      <c r="O16" s="419"/>
      <c r="P16" s="419"/>
      <c r="Q16" s="419"/>
      <c r="R16" s="419"/>
      <c r="S16" s="419"/>
    </row>
    <row r="17" spans="1:32" ht="15" customHeight="1" x14ac:dyDescent="0.25">
      <c r="A17" s="419"/>
      <c r="B17" s="449"/>
      <c r="C17" s="449"/>
      <c r="D17" s="449"/>
      <c r="E17" s="449"/>
      <c r="F17" s="449"/>
      <c r="G17" s="449"/>
      <c r="H17" s="449"/>
      <c r="I17" s="449"/>
      <c r="J17" s="449"/>
      <c r="K17" s="439"/>
      <c r="L17" s="419"/>
      <c r="M17" s="419"/>
      <c r="N17" s="419"/>
      <c r="O17" s="419"/>
      <c r="P17" s="419"/>
      <c r="Q17" s="419"/>
      <c r="R17" s="419"/>
      <c r="S17" s="419"/>
    </row>
    <row r="18" spans="1:32" ht="15" customHeight="1" x14ac:dyDescent="0.25">
      <c r="A18" s="419"/>
      <c r="B18" s="449"/>
      <c r="C18" s="449"/>
      <c r="D18" s="449"/>
      <c r="E18" s="449"/>
      <c r="F18" s="449"/>
      <c r="G18" s="449"/>
      <c r="H18" s="449"/>
      <c r="I18" s="449"/>
      <c r="J18" s="449"/>
      <c r="K18" s="439"/>
      <c r="L18" s="419"/>
      <c r="M18" s="419"/>
      <c r="N18" s="419"/>
      <c r="O18" s="419"/>
      <c r="P18" s="439"/>
      <c r="Q18" s="419"/>
      <c r="R18" s="419"/>
      <c r="S18" s="419"/>
    </row>
    <row r="19" spans="1:32" ht="15" customHeight="1" x14ac:dyDescent="0.25">
      <c r="A19" s="419"/>
      <c r="B19" s="449"/>
      <c r="C19" s="449"/>
      <c r="D19" s="449"/>
      <c r="E19" s="449"/>
      <c r="F19" s="449"/>
      <c r="G19" s="449"/>
      <c r="H19" s="449"/>
      <c r="I19" s="449"/>
      <c r="J19" s="449"/>
      <c r="K19" s="439"/>
      <c r="L19" s="419"/>
      <c r="M19" s="419"/>
      <c r="N19" s="419"/>
      <c r="O19" s="419"/>
      <c r="P19" s="439"/>
      <c r="Q19" s="419"/>
      <c r="R19" s="419"/>
      <c r="S19" s="419"/>
    </row>
    <row r="20" spans="1:32" ht="15" customHeight="1" x14ac:dyDescent="0.25">
      <c r="A20" s="419"/>
      <c r="B20" s="449"/>
      <c r="C20" s="449"/>
      <c r="D20" s="449"/>
      <c r="E20" s="449"/>
      <c r="F20" s="449"/>
      <c r="G20" s="449"/>
      <c r="H20" s="449"/>
      <c r="I20" s="449"/>
      <c r="J20" s="449"/>
      <c r="K20" s="439"/>
      <c r="L20" s="419"/>
      <c r="M20" s="419"/>
      <c r="N20" s="419"/>
      <c r="O20" s="419"/>
      <c r="P20" s="439"/>
      <c r="Q20" s="419"/>
      <c r="R20" s="419"/>
      <c r="S20" s="419"/>
    </row>
    <row r="21" spans="1:32" ht="15" customHeight="1" thickBot="1" x14ac:dyDescent="0.3">
      <c r="A21" s="419"/>
      <c r="B21" s="449"/>
      <c r="C21" s="449"/>
      <c r="D21" s="449"/>
      <c r="E21" s="449"/>
      <c r="F21" s="449"/>
      <c r="G21" s="449"/>
      <c r="H21" s="449"/>
      <c r="I21" s="449"/>
      <c r="J21" s="449"/>
      <c r="K21" s="439"/>
      <c r="L21" s="419"/>
      <c r="M21" s="419"/>
      <c r="N21" s="419"/>
      <c r="O21" s="419"/>
      <c r="P21" s="439"/>
      <c r="Q21" s="419"/>
      <c r="R21" s="419"/>
      <c r="S21" s="419"/>
    </row>
    <row r="22" spans="1:32" ht="15" customHeight="1" x14ac:dyDescent="0.25">
      <c r="A22" s="419"/>
      <c r="B22" s="449"/>
      <c r="C22" s="449"/>
      <c r="D22" s="449"/>
      <c r="E22" s="449"/>
      <c r="F22" s="449"/>
      <c r="G22" s="449"/>
      <c r="H22" s="449"/>
      <c r="I22" s="449"/>
      <c r="J22" s="449"/>
      <c r="K22" s="439"/>
      <c r="L22" s="419"/>
      <c r="M22" s="419"/>
      <c r="N22" s="419"/>
      <c r="O22" s="419"/>
      <c r="P22" s="439"/>
      <c r="Q22" s="419"/>
      <c r="R22" s="419"/>
      <c r="S22" s="419"/>
      <c r="AB22" s="450"/>
      <c r="AC22" s="451" t="s">
        <v>214</v>
      </c>
      <c r="AD22" s="451" t="str">
        <f>D34</f>
        <v>Initial target setting</v>
      </c>
      <c r="AE22" s="451" t="str">
        <f>F34</f>
        <v>Design phase</v>
      </c>
      <c r="AF22" s="452" t="str">
        <f>H34</f>
        <v>Construction phase</v>
      </c>
    </row>
    <row r="23" spans="1:32" ht="15" customHeight="1" x14ac:dyDescent="0.25">
      <c r="A23" s="419"/>
      <c r="B23" s="449"/>
      <c r="C23" s="449"/>
      <c r="D23" s="449"/>
      <c r="E23" s="449"/>
      <c r="F23" s="449"/>
      <c r="G23" s="449"/>
      <c r="H23" s="449"/>
      <c r="I23" s="449"/>
      <c r="J23" s="449"/>
      <c r="K23" s="439"/>
      <c r="L23" s="419"/>
      <c r="M23" s="419"/>
      <c r="N23" s="419"/>
      <c r="O23" s="419"/>
      <c r="P23" s="439"/>
      <c r="Q23" s="419"/>
      <c r="R23" s="419"/>
      <c r="S23" s="419"/>
      <c r="AB23" s="453" t="s">
        <v>205</v>
      </c>
      <c r="AC23" s="454">
        <f>Man_Weight</f>
        <v>0.13</v>
      </c>
      <c r="AD23" s="454">
        <f t="shared" ref="AD23:AD32" si="0">IF(D$9=$AA$36,K36,"")</f>
        <v>0</v>
      </c>
      <c r="AE23" s="454" t="str">
        <f t="shared" ref="AE23:AE32" si="1">IF(F$9=$AA$36,L36,"")</f>
        <v/>
      </c>
      <c r="AF23" s="455" t="str">
        <f t="shared" ref="AF23:AF32" si="2">IF(H$9=$AA$36,M36,"")</f>
        <v/>
      </c>
    </row>
    <row r="24" spans="1:32" ht="15" customHeight="1" x14ac:dyDescent="0.25">
      <c r="A24" s="419"/>
      <c r="B24" s="449"/>
      <c r="C24" s="449"/>
      <c r="D24" s="449"/>
      <c r="E24" s="449"/>
      <c r="F24" s="449"/>
      <c r="G24" s="449"/>
      <c r="H24" s="449"/>
      <c r="I24" s="449"/>
      <c r="J24" s="449"/>
      <c r="K24" s="439"/>
      <c r="L24" s="419"/>
      <c r="M24" s="419"/>
      <c r="N24" s="419"/>
      <c r="O24" s="419"/>
      <c r="P24" s="419"/>
      <c r="Q24" s="419"/>
      <c r="R24" s="419"/>
      <c r="S24" s="419"/>
      <c r="AB24" s="453" t="s">
        <v>127</v>
      </c>
      <c r="AC24" s="454">
        <f>J37</f>
        <v>0.16</v>
      </c>
      <c r="AD24" s="454">
        <f t="shared" si="0"/>
        <v>0</v>
      </c>
      <c r="AE24" s="454" t="str">
        <f t="shared" si="1"/>
        <v/>
      </c>
      <c r="AF24" s="455" t="str">
        <f t="shared" si="2"/>
        <v/>
      </c>
    </row>
    <row r="25" spans="1:32" ht="15" customHeight="1" x14ac:dyDescent="0.25">
      <c r="A25" s="419"/>
      <c r="B25" s="449"/>
      <c r="C25" s="449"/>
      <c r="D25" s="449"/>
      <c r="E25" s="449"/>
      <c r="F25" s="449"/>
      <c r="G25" s="449"/>
      <c r="H25" s="449"/>
      <c r="I25" s="449"/>
      <c r="J25" s="449"/>
      <c r="K25" s="439"/>
      <c r="L25" s="419"/>
      <c r="M25" s="419"/>
      <c r="N25" s="419"/>
      <c r="O25" s="419"/>
      <c r="P25" s="419"/>
      <c r="Q25" s="419"/>
      <c r="R25" s="419"/>
      <c r="S25" s="419"/>
      <c r="AB25" s="453" t="s">
        <v>206</v>
      </c>
      <c r="AC25" s="454">
        <f>Ene_Weight</f>
        <v>0.14000000000000001</v>
      </c>
      <c r="AD25" s="454">
        <f t="shared" si="0"/>
        <v>0</v>
      </c>
      <c r="AE25" s="454" t="str">
        <f t="shared" si="1"/>
        <v/>
      </c>
      <c r="AF25" s="455" t="str">
        <f t="shared" si="2"/>
        <v/>
      </c>
    </row>
    <row r="26" spans="1:32" ht="15" customHeight="1" x14ac:dyDescent="0.25">
      <c r="A26" s="419"/>
      <c r="B26" s="449"/>
      <c r="C26" s="449"/>
      <c r="D26" s="449"/>
      <c r="E26" s="449"/>
      <c r="F26" s="449"/>
      <c r="G26" s="449"/>
      <c r="H26" s="449"/>
      <c r="I26" s="449"/>
      <c r="J26" s="449"/>
      <c r="K26" s="439"/>
      <c r="L26" s="419"/>
      <c r="M26" s="419"/>
      <c r="N26" s="419"/>
      <c r="O26" s="419"/>
      <c r="P26" s="419"/>
      <c r="Q26" s="419"/>
      <c r="R26" s="419"/>
      <c r="S26" s="419"/>
      <c r="AB26" s="453" t="s">
        <v>207</v>
      </c>
      <c r="AC26" s="454">
        <f>Tra_Weight</f>
        <v>0.1</v>
      </c>
      <c r="AD26" s="454">
        <f t="shared" si="0"/>
        <v>0</v>
      </c>
      <c r="AE26" s="454" t="str">
        <f t="shared" si="1"/>
        <v/>
      </c>
      <c r="AF26" s="455" t="str">
        <f t="shared" si="2"/>
        <v/>
      </c>
    </row>
    <row r="27" spans="1:32" ht="15" customHeight="1" x14ac:dyDescent="0.25">
      <c r="A27" s="419"/>
      <c r="B27" s="449"/>
      <c r="C27" s="449"/>
      <c r="D27" s="449"/>
      <c r="E27" s="449"/>
      <c r="F27" s="449"/>
      <c r="G27" s="449"/>
      <c r="H27" s="449"/>
      <c r="I27" s="449"/>
      <c r="J27" s="449"/>
      <c r="K27" s="439"/>
      <c r="L27" s="419"/>
      <c r="M27" s="419"/>
      <c r="N27" s="419"/>
      <c r="O27" s="419"/>
      <c r="P27" s="419"/>
      <c r="Q27" s="419"/>
      <c r="R27" s="419"/>
      <c r="S27" s="419"/>
      <c r="AB27" s="453" t="s">
        <v>208</v>
      </c>
      <c r="AC27" s="454">
        <f>Wat_Weight</f>
        <v>0.04</v>
      </c>
      <c r="AD27" s="454">
        <f t="shared" si="0"/>
        <v>0</v>
      </c>
      <c r="AE27" s="454" t="str">
        <f t="shared" si="1"/>
        <v/>
      </c>
      <c r="AF27" s="455" t="str">
        <f t="shared" si="2"/>
        <v/>
      </c>
    </row>
    <row r="28" spans="1:32" ht="15" customHeight="1" x14ac:dyDescent="0.25">
      <c r="A28" s="419"/>
      <c r="B28" s="449"/>
      <c r="C28" s="449"/>
      <c r="D28" s="449"/>
      <c r="E28" s="449"/>
      <c r="F28" s="449"/>
      <c r="G28" s="449"/>
      <c r="H28" s="449"/>
      <c r="I28" s="449"/>
      <c r="J28" s="449"/>
      <c r="K28" s="439"/>
      <c r="L28" s="419"/>
      <c r="M28" s="419"/>
      <c r="N28" s="419"/>
      <c r="O28" s="419"/>
      <c r="P28" s="419"/>
      <c r="Q28" s="419"/>
      <c r="R28" s="419"/>
      <c r="S28" s="419"/>
      <c r="AB28" s="453" t="s">
        <v>209</v>
      </c>
      <c r="AC28" s="454">
        <f>Mat_Weight</f>
        <v>0.17</v>
      </c>
      <c r="AD28" s="454">
        <f t="shared" si="0"/>
        <v>0</v>
      </c>
      <c r="AE28" s="454" t="str">
        <f t="shared" si="1"/>
        <v/>
      </c>
      <c r="AF28" s="455" t="str">
        <f t="shared" si="2"/>
        <v/>
      </c>
    </row>
    <row r="29" spans="1:32" ht="15" customHeight="1" x14ac:dyDescent="0.25">
      <c r="A29" s="419"/>
      <c r="B29" s="449"/>
      <c r="C29" s="449"/>
      <c r="D29" s="449"/>
      <c r="E29" s="449"/>
      <c r="F29" s="449"/>
      <c r="G29" s="449"/>
      <c r="H29" s="449"/>
      <c r="I29" s="449"/>
      <c r="J29" s="449"/>
      <c r="K29" s="439"/>
      <c r="L29" s="419"/>
      <c r="M29" s="419"/>
      <c r="N29" s="419"/>
      <c r="O29" s="419"/>
      <c r="P29" s="419"/>
      <c r="Q29" s="419"/>
      <c r="R29" s="419"/>
      <c r="S29" s="419"/>
      <c r="AB29" s="453" t="s">
        <v>210</v>
      </c>
      <c r="AC29" s="454">
        <f>Wst_Weight</f>
        <v>7.0000000000000007E-2</v>
      </c>
      <c r="AD29" s="454">
        <f t="shared" si="0"/>
        <v>0</v>
      </c>
      <c r="AE29" s="454" t="str">
        <f t="shared" si="1"/>
        <v/>
      </c>
      <c r="AF29" s="455" t="str">
        <f t="shared" si="2"/>
        <v/>
      </c>
    </row>
    <row r="30" spans="1:32" ht="15" customHeight="1" x14ac:dyDescent="0.25">
      <c r="A30" s="419"/>
      <c r="B30" s="449"/>
      <c r="C30" s="449"/>
      <c r="D30" s="449"/>
      <c r="E30" s="449"/>
      <c r="F30" s="449"/>
      <c r="G30" s="449"/>
      <c r="H30" s="449"/>
      <c r="I30" s="449"/>
      <c r="J30" s="449"/>
      <c r="K30" s="439"/>
      <c r="L30" s="419"/>
      <c r="M30" s="419"/>
      <c r="N30" s="419"/>
      <c r="O30" s="419"/>
      <c r="P30" s="419"/>
      <c r="Q30" s="419"/>
      <c r="R30" s="419"/>
      <c r="S30" s="419"/>
      <c r="AB30" s="453" t="s">
        <v>211</v>
      </c>
      <c r="AC30" s="454">
        <f>LE_Weight</f>
        <v>0.15</v>
      </c>
      <c r="AD30" s="454">
        <f t="shared" si="0"/>
        <v>0</v>
      </c>
      <c r="AE30" s="454" t="str">
        <f t="shared" si="1"/>
        <v/>
      </c>
      <c r="AF30" s="455" t="str">
        <f t="shared" si="2"/>
        <v/>
      </c>
    </row>
    <row r="31" spans="1:32" ht="15" customHeight="1" x14ac:dyDescent="0.25">
      <c r="A31" s="419"/>
      <c r="B31" s="449"/>
      <c r="C31" s="449"/>
      <c r="D31" s="449"/>
      <c r="E31" s="449"/>
      <c r="F31" s="449"/>
      <c r="G31" s="449"/>
      <c r="H31" s="449"/>
      <c r="I31" s="449"/>
      <c r="J31" s="449"/>
      <c r="K31" s="439"/>
      <c r="L31" s="419"/>
      <c r="M31" s="419"/>
      <c r="N31" s="419"/>
      <c r="O31" s="419"/>
      <c r="P31" s="419"/>
      <c r="Q31" s="419"/>
      <c r="R31" s="419"/>
      <c r="S31" s="419"/>
      <c r="AB31" s="453" t="s">
        <v>212</v>
      </c>
      <c r="AC31" s="454">
        <f>J44</f>
        <v>0.04</v>
      </c>
      <c r="AD31" s="454">
        <f t="shared" si="0"/>
        <v>0</v>
      </c>
      <c r="AE31" s="454" t="str">
        <f t="shared" si="1"/>
        <v/>
      </c>
      <c r="AF31" s="455" t="str">
        <f t="shared" si="2"/>
        <v/>
      </c>
    </row>
    <row r="32" spans="1:32" ht="15" customHeight="1" thickBot="1" x14ac:dyDescent="0.3">
      <c r="A32" s="419"/>
      <c r="B32" s="449"/>
      <c r="C32" s="449"/>
      <c r="D32" s="449"/>
      <c r="E32" s="449"/>
      <c r="F32" s="449"/>
      <c r="G32" s="449"/>
      <c r="H32" s="449"/>
      <c r="I32" s="449"/>
      <c r="J32" s="449"/>
      <c r="K32" s="439"/>
      <c r="L32" s="419"/>
      <c r="M32" s="419"/>
      <c r="N32" s="419"/>
      <c r="O32" s="419"/>
      <c r="P32" s="419"/>
      <c r="Q32" s="419"/>
      <c r="R32" s="419"/>
      <c r="S32" s="419"/>
      <c r="AB32" s="456" t="s">
        <v>213</v>
      </c>
      <c r="AC32" s="457">
        <f>J45</f>
        <v>0.1</v>
      </c>
      <c r="AD32" s="457">
        <f t="shared" si="0"/>
        <v>0</v>
      </c>
      <c r="AE32" s="457" t="str">
        <f t="shared" si="1"/>
        <v/>
      </c>
      <c r="AF32" s="458" t="str">
        <f t="shared" si="2"/>
        <v/>
      </c>
    </row>
    <row r="33" spans="1:32" ht="15" customHeight="1" x14ac:dyDescent="0.25">
      <c r="A33" s="419"/>
      <c r="B33" s="449"/>
      <c r="C33" s="449"/>
      <c r="D33" s="449"/>
      <c r="E33" s="449"/>
      <c r="F33" s="449"/>
      <c r="G33" s="449"/>
      <c r="H33" s="449"/>
      <c r="I33" s="449"/>
      <c r="J33" s="449"/>
      <c r="K33" s="439"/>
      <c r="L33" s="419"/>
      <c r="M33" s="419"/>
      <c r="N33" s="419"/>
      <c r="O33" s="419"/>
      <c r="P33" s="419"/>
      <c r="Q33" s="419"/>
      <c r="R33" s="419"/>
      <c r="S33" s="419"/>
    </row>
    <row r="34" spans="1:32" ht="15.75" x14ac:dyDescent="0.25">
      <c r="A34" s="419"/>
      <c r="B34" s="1264"/>
      <c r="C34" s="439"/>
      <c r="D34" s="1346" t="s">
        <v>217</v>
      </c>
      <c r="E34" s="1347"/>
      <c r="F34" s="1346" t="s">
        <v>285</v>
      </c>
      <c r="G34" s="1347"/>
      <c r="H34" s="1346" t="s">
        <v>286</v>
      </c>
      <c r="I34" s="1347"/>
      <c r="J34" s="459" t="s">
        <v>204</v>
      </c>
      <c r="K34" s="1346" t="s">
        <v>287</v>
      </c>
      <c r="L34" s="1350"/>
      <c r="M34" s="1347"/>
      <c r="N34" s="439"/>
      <c r="O34" s="439"/>
      <c r="P34" s="439"/>
      <c r="Q34" s="439"/>
    </row>
    <row r="35" spans="1:32" ht="48" thickBot="1" x14ac:dyDescent="0.3">
      <c r="A35" s="419"/>
      <c r="B35" s="460" t="s">
        <v>75</v>
      </c>
      <c r="C35" s="461" t="s">
        <v>65</v>
      </c>
      <c r="D35" s="462" t="s">
        <v>203</v>
      </c>
      <c r="E35" s="463" t="s">
        <v>64</v>
      </c>
      <c r="F35" s="461" t="s">
        <v>203</v>
      </c>
      <c r="G35" s="461" t="s">
        <v>64</v>
      </c>
      <c r="H35" s="462" t="s">
        <v>203</v>
      </c>
      <c r="I35" s="463" t="s">
        <v>64</v>
      </c>
      <c r="J35" s="464"/>
      <c r="K35" s="462" t="s">
        <v>217</v>
      </c>
      <c r="L35" s="465" t="s">
        <v>285</v>
      </c>
      <c r="M35" s="463" t="s">
        <v>286</v>
      </c>
      <c r="N35" s="439"/>
      <c r="O35" s="439"/>
      <c r="P35" s="439"/>
      <c r="Q35" s="439"/>
    </row>
    <row r="36" spans="1:32" ht="15.75" customHeight="1" x14ac:dyDescent="0.25">
      <c r="A36" s="419"/>
      <c r="B36" s="466" t="s">
        <v>63</v>
      </c>
      <c r="C36" s="467">
        <f>Man_Credits</f>
        <v>21</v>
      </c>
      <c r="D36" s="468">
        <f>Man_tot_user</f>
        <v>0</v>
      </c>
      <c r="E36" s="469">
        <f>BP_11/BP_01</f>
        <v>0</v>
      </c>
      <c r="F36" s="468">
        <f>Man_d_user</f>
        <v>0</v>
      </c>
      <c r="G36" s="470">
        <f>F36/C36</f>
        <v>0</v>
      </c>
      <c r="H36" s="468">
        <f>Man_c_user</f>
        <v>0</v>
      </c>
      <c r="I36" s="469">
        <f>H36/C36</f>
        <v>0</v>
      </c>
      <c r="J36" s="1138">
        <f>Poeng!BS342</f>
        <v>0.13</v>
      </c>
      <c r="K36" s="1136">
        <f>BP_22*J36</f>
        <v>0</v>
      </c>
      <c r="L36" s="797">
        <f>G36*J36</f>
        <v>0</v>
      </c>
      <c r="M36" s="798">
        <f>I36*J36</f>
        <v>0</v>
      </c>
      <c r="N36" s="439"/>
      <c r="O36" s="439"/>
      <c r="P36" s="439"/>
      <c r="Q36" s="439"/>
      <c r="AA36" s="471" t="s">
        <v>12</v>
      </c>
      <c r="AB36" s="451" t="str">
        <f>Poeng!BQ293</f>
        <v>Navn</v>
      </c>
      <c r="AC36" s="451" t="str">
        <f>AD22</f>
        <v>Initial target setting</v>
      </c>
      <c r="AD36" s="451" t="str">
        <f>AE22</f>
        <v>Design phase</v>
      </c>
      <c r="AE36" s="472" t="str">
        <f>AF22</f>
        <v>Construction phase</v>
      </c>
    </row>
    <row r="37" spans="1:32" ht="16.5" thickBot="1" x14ac:dyDescent="0.3">
      <c r="A37" s="419"/>
      <c r="B37" s="473" t="s">
        <v>66</v>
      </c>
      <c r="C37" s="474">
        <f>Hea_Credits</f>
        <v>19</v>
      </c>
      <c r="D37" s="475">
        <f>HW_tot_user</f>
        <v>0</v>
      </c>
      <c r="E37" s="476">
        <f>BP_12/BP_02</f>
        <v>0</v>
      </c>
      <c r="F37" s="475">
        <f>HW_d_user</f>
        <v>0</v>
      </c>
      <c r="G37" s="470">
        <f t="shared" ref="G37:G45" si="3">F37/C37</f>
        <v>0</v>
      </c>
      <c r="H37" s="475">
        <f>HW_c_user</f>
        <v>0</v>
      </c>
      <c r="I37" s="469">
        <f t="shared" ref="I37:I45" si="4">H37/C37</f>
        <v>0</v>
      </c>
      <c r="J37" s="1139">
        <f>Poeng!BS343</f>
        <v>0.16</v>
      </c>
      <c r="K37" s="482">
        <f>BP_23*J37</f>
        <v>0</v>
      </c>
      <c r="L37" s="797">
        <f t="shared" ref="L37:L45" si="5">G37*J37</f>
        <v>0</v>
      </c>
      <c r="M37" s="799">
        <f t="shared" ref="M37:M45" si="6">I37*J37</f>
        <v>0</v>
      </c>
      <c r="N37" s="439"/>
      <c r="O37" s="439"/>
      <c r="P37" s="439"/>
      <c r="Q37" s="439"/>
      <c r="AA37" s="477" t="s">
        <v>13</v>
      </c>
      <c r="AB37" s="478" t="str">
        <f>Poeng!BQ294</f>
        <v>Man 01</v>
      </c>
      <c r="AC37" s="479">
        <f>IF(D$9=$AA$36,Poeng!BR294,"")</f>
        <v>3</v>
      </c>
      <c r="AD37" s="479" t="str">
        <f>IF(F$9=$AA$36,Poeng!BS294,"")</f>
        <v/>
      </c>
      <c r="AE37" s="480" t="str">
        <f>IF(H$9=$AA$36,Poeng!BT294,"")</f>
        <v/>
      </c>
    </row>
    <row r="38" spans="1:32" s="481" customFormat="1" ht="15.75" x14ac:dyDescent="0.25">
      <c r="A38" s="419"/>
      <c r="B38" s="473" t="s">
        <v>67</v>
      </c>
      <c r="C38" s="474">
        <f>Ene_Credits</f>
        <v>27</v>
      </c>
      <c r="D38" s="475">
        <f>Ene_tot_user</f>
        <v>0</v>
      </c>
      <c r="E38" s="476">
        <f>BP_13/BP_03</f>
        <v>0</v>
      </c>
      <c r="F38" s="475">
        <f>Ene_d_user</f>
        <v>0</v>
      </c>
      <c r="G38" s="470">
        <f t="shared" si="3"/>
        <v>0</v>
      </c>
      <c r="H38" s="475">
        <f>Ene_c_user</f>
        <v>0</v>
      </c>
      <c r="I38" s="469">
        <f t="shared" si="4"/>
        <v>0</v>
      </c>
      <c r="J38" s="1139">
        <f>Poeng!BS344</f>
        <v>0.14000000000000001</v>
      </c>
      <c r="K38" s="482">
        <f>BP_24*J38</f>
        <v>0</v>
      </c>
      <c r="L38" s="797">
        <f t="shared" si="5"/>
        <v>0</v>
      </c>
      <c r="M38" s="799">
        <f t="shared" si="6"/>
        <v>0</v>
      </c>
      <c r="N38" s="1265"/>
      <c r="O38" s="1265"/>
      <c r="P38" s="1265"/>
      <c r="Q38" s="1265"/>
      <c r="AA38" s="420"/>
      <c r="AB38" s="478" t="str">
        <f>Poeng!BQ295</f>
        <v>Man 03</v>
      </c>
      <c r="AC38" s="479">
        <f>IF(D$9=$AA$36,Poeng!BR295,"")</f>
        <v>0</v>
      </c>
      <c r="AD38" s="479" t="str">
        <f>IF(F$9=$AA$36,Poeng!BS295,"")</f>
        <v/>
      </c>
      <c r="AE38" s="480" t="str">
        <f>IF(H$9=$AA$36,Poeng!BT295,"")</f>
        <v/>
      </c>
    </row>
    <row r="39" spans="1:32" s="481" customFormat="1" ht="15.75" x14ac:dyDescent="0.25">
      <c r="A39" s="419"/>
      <c r="B39" s="473" t="s">
        <v>68</v>
      </c>
      <c r="C39" s="474">
        <f>Tra_Credits</f>
        <v>13</v>
      </c>
      <c r="D39" s="475">
        <f>Tra_tot_user</f>
        <v>0</v>
      </c>
      <c r="E39" s="476">
        <f>BP_14/BP_04</f>
        <v>0</v>
      </c>
      <c r="F39" s="475">
        <f>Tra_d_user</f>
        <v>0</v>
      </c>
      <c r="G39" s="470">
        <f t="shared" si="3"/>
        <v>0</v>
      </c>
      <c r="H39" s="475">
        <f>Tra_c_user</f>
        <v>0</v>
      </c>
      <c r="I39" s="469">
        <f t="shared" si="4"/>
        <v>0</v>
      </c>
      <c r="J39" s="1139">
        <f>Poeng!BS345</f>
        <v>0.1</v>
      </c>
      <c r="K39" s="482">
        <f>BP_25*J39</f>
        <v>0</v>
      </c>
      <c r="L39" s="797">
        <f t="shared" si="5"/>
        <v>0</v>
      </c>
      <c r="M39" s="799">
        <f t="shared" si="6"/>
        <v>0</v>
      </c>
      <c r="N39" s="1265"/>
      <c r="O39" s="1265"/>
      <c r="P39" s="1265"/>
      <c r="Q39" s="1265"/>
      <c r="AA39" s="420"/>
      <c r="AB39" s="478" t="str">
        <f>Poeng!BQ296</f>
        <v>Man 04</v>
      </c>
      <c r="AC39" s="479">
        <f>IF(D$9=$AA$36,Poeng!BR296,"")</f>
        <v>0</v>
      </c>
      <c r="AD39" s="479" t="str">
        <f>IF(F$9=$AA$36,Poeng!BS296,"")</f>
        <v/>
      </c>
      <c r="AE39" s="480" t="str">
        <f>IF(H$9=$AA$36,Poeng!BT296,"")</f>
        <v/>
      </c>
    </row>
    <row r="40" spans="1:32" s="481" customFormat="1" ht="15.75" x14ac:dyDescent="0.25">
      <c r="A40" s="419"/>
      <c r="B40" s="473" t="s">
        <v>60</v>
      </c>
      <c r="C40" s="474">
        <f>Wat_Credits</f>
        <v>9</v>
      </c>
      <c r="D40" s="475">
        <f>Wat_tot_user</f>
        <v>0</v>
      </c>
      <c r="E40" s="476">
        <f>BP_15/BP_05</f>
        <v>0</v>
      </c>
      <c r="F40" s="475">
        <f>Wat_d_user</f>
        <v>0</v>
      </c>
      <c r="G40" s="470">
        <f t="shared" si="3"/>
        <v>0</v>
      </c>
      <c r="H40" s="475">
        <f>Wat_c_user</f>
        <v>0</v>
      </c>
      <c r="I40" s="469">
        <f t="shared" si="4"/>
        <v>0</v>
      </c>
      <c r="J40" s="1139">
        <f>Poeng!BS346</f>
        <v>0.04</v>
      </c>
      <c r="K40" s="482">
        <f>BP_26*J40</f>
        <v>0</v>
      </c>
      <c r="L40" s="797">
        <f t="shared" si="5"/>
        <v>0</v>
      </c>
      <c r="M40" s="799">
        <f t="shared" si="6"/>
        <v>0</v>
      </c>
      <c r="N40" s="1265"/>
      <c r="O40" s="1265"/>
      <c r="P40" s="1265"/>
      <c r="Q40" s="1265"/>
      <c r="AA40" s="420"/>
      <c r="AB40" s="478" t="str">
        <f>Poeng!BQ297</f>
        <v>Man 05</v>
      </c>
      <c r="AC40" s="479">
        <f>IF(D$9=$AA$36,Poeng!BR297,"")</f>
        <v>3</v>
      </c>
      <c r="AD40" s="479" t="str">
        <f>IF(F$9=$AA$36,Poeng!BS297,"")</f>
        <v/>
      </c>
      <c r="AE40" s="480" t="str">
        <f>IF(H$9=$AA$36,Poeng!BT297,"")</f>
        <v/>
      </c>
    </row>
    <row r="41" spans="1:32" s="481" customFormat="1" ht="15.75" x14ac:dyDescent="0.25">
      <c r="A41" s="419"/>
      <c r="B41" s="473" t="s">
        <v>69</v>
      </c>
      <c r="C41" s="474">
        <f>Mat_Credits</f>
        <v>21</v>
      </c>
      <c r="D41" s="475">
        <f>Mat_tot_user</f>
        <v>0</v>
      </c>
      <c r="E41" s="476">
        <f>BP_16/BP_06</f>
        <v>0</v>
      </c>
      <c r="F41" s="475">
        <f>Mat_d_user</f>
        <v>0</v>
      </c>
      <c r="G41" s="470">
        <f t="shared" si="3"/>
        <v>0</v>
      </c>
      <c r="H41" s="475">
        <f>Mat_c_user</f>
        <v>0</v>
      </c>
      <c r="I41" s="469">
        <f t="shared" si="4"/>
        <v>0</v>
      </c>
      <c r="J41" s="1139">
        <f>Poeng!BS347</f>
        <v>0.17</v>
      </c>
      <c r="K41" s="482">
        <f>BP_27*J41</f>
        <v>0</v>
      </c>
      <c r="L41" s="797">
        <f t="shared" si="5"/>
        <v>0</v>
      </c>
      <c r="M41" s="799">
        <f t="shared" si="6"/>
        <v>0</v>
      </c>
      <c r="N41" s="1265"/>
      <c r="O41" s="1265"/>
      <c r="P41" s="1265"/>
      <c r="Q41" s="1265"/>
      <c r="AA41" s="420"/>
      <c r="AB41" s="478" t="str">
        <f>Poeng!BQ298</f>
        <v>Hea 01</v>
      </c>
      <c r="AC41" s="479">
        <f>IF(D$9=$AA$36,Poeng!BR298,"")</f>
        <v>0</v>
      </c>
      <c r="AD41" s="479" t="str">
        <f>IF(F$9=$AA$36,Poeng!BS298,"")</f>
        <v/>
      </c>
      <c r="AE41" s="480" t="str">
        <f>IF(H$9=$AA$36,Poeng!BT298,"")</f>
        <v/>
      </c>
    </row>
    <row r="42" spans="1:32" ht="15.75" x14ac:dyDescent="0.25">
      <c r="A42" s="419"/>
      <c r="B42" s="473" t="s">
        <v>70</v>
      </c>
      <c r="C42" s="474">
        <f>Wst_Credits</f>
        <v>7</v>
      </c>
      <c r="D42" s="475">
        <f>Wst_tot_user</f>
        <v>0</v>
      </c>
      <c r="E42" s="476">
        <f>BP_18/BP_07</f>
        <v>0</v>
      </c>
      <c r="F42" s="475">
        <f>Wst_d_user</f>
        <v>0</v>
      </c>
      <c r="G42" s="470">
        <f t="shared" si="3"/>
        <v>0</v>
      </c>
      <c r="H42" s="475">
        <f>Wst_c_user</f>
        <v>0</v>
      </c>
      <c r="I42" s="469">
        <f t="shared" si="4"/>
        <v>0</v>
      </c>
      <c r="J42" s="1139">
        <f>Poeng!BS348</f>
        <v>7.0000000000000007E-2</v>
      </c>
      <c r="K42" s="482">
        <f>BP_28*J42</f>
        <v>0</v>
      </c>
      <c r="L42" s="797">
        <f t="shared" si="5"/>
        <v>0</v>
      </c>
      <c r="M42" s="799">
        <f t="shared" si="6"/>
        <v>0</v>
      </c>
      <c r="N42" s="439"/>
      <c r="O42" s="439"/>
      <c r="P42" s="439"/>
      <c r="Q42" s="439"/>
      <c r="AB42" s="478" t="str">
        <f>Poeng!BQ299</f>
        <v>Hea 02</v>
      </c>
      <c r="AC42" s="479">
        <f>IF(D$9=$AA$36,Poeng!BR299,"")</f>
        <v>0</v>
      </c>
      <c r="AD42" s="479" t="str">
        <f>IF(F$9=$AA$36,Poeng!BS299,"")</f>
        <v/>
      </c>
      <c r="AE42" s="480" t="str">
        <f>IF(H$9=$AA$36,Poeng!BT299,"")</f>
        <v/>
      </c>
    </row>
    <row r="43" spans="1:32" ht="15.75" x14ac:dyDescent="0.25">
      <c r="A43" s="419"/>
      <c r="B43" s="473" t="s">
        <v>71</v>
      </c>
      <c r="C43" s="474">
        <f>LE_Credits</f>
        <v>19</v>
      </c>
      <c r="D43" s="475">
        <f>Lue_tot_user</f>
        <v>0</v>
      </c>
      <c r="E43" s="476">
        <f>BP_19/BP_08</f>
        <v>0</v>
      </c>
      <c r="F43" s="475">
        <f>Lue_d_user</f>
        <v>0</v>
      </c>
      <c r="G43" s="470">
        <f t="shared" si="3"/>
        <v>0</v>
      </c>
      <c r="H43" s="475">
        <f>Lue_c_user</f>
        <v>0</v>
      </c>
      <c r="I43" s="469">
        <f t="shared" si="4"/>
        <v>0</v>
      </c>
      <c r="J43" s="1139">
        <f>Poeng!BS349</f>
        <v>0.15</v>
      </c>
      <c r="K43" s="482">
        <f>BP_29*J43</f>
        <v>0</v>
      </c>
      <c r="L43" s="797">
        <f t="shared" si="5"/>
        <v>0</v>
      </c>
      <c r="M43" s="799">
        <f t="shared" si="6"/>
        <v>0</v>
      </c>
      <c r="N43" s="439"/>
      <c r="O43" s="439"/>
      <c r="P43" s="439"/>
      <c r="Q43" s="439"/>
      <c r="AB43" s="478" t="str">
        <f>Poeng!BQ300</f>
        <v>Ene 01</v>
      </c>
      <c r="AC43" s="479">
        <f>IF(D$9=$AA$36,Poeng!BR300,"")</f>
        <v>3</v>
      </c>
      <c r="AD43" s="479" t="str">
        <f>IF(F$9=$AA$36,Poeng!BS300,"")</f>
        <v/>
      </c>
      <c r="AE43" s="480" t="str">
        <f>IF(H$9=$AA$36,Poeng!BT300,"")</f>
        <v/>
      </c>
    </row>
    <row r="44" spans="1:32" ht="15.75" customHeight="1" x14ac:dyDescent="0.25">
      <c r="A44" s="419"/>
      <c r="B44" s="473" t="s">
        <v>72</v>
      </c>
      <c r="C44" s="474">
        <f>Pol_Credits</f>
        <v>7</v>
      </c>
      <c r="D44" s="475">
        <f>Pol_tot_user</f>
        <v>0</v>
      </c>
      <c r="E44" s="476">
        <f>BP_20/BP_09</f>
        <v>0</v>
      </c>
      <c r="F44" s="475">
        <f>Pol_d_user</f>
        <v>0</v>
      </c>
      <c r="G44" s="470">
        <f t="shared" si="3"/>
        <v>0</v>
      </c>
      <c r="H44" s="475">
        <f>Pol_c_user</f>
        <v>0</v>
      </c>
      <c r="I44" s="469">
        <f t="shared" si="4"/>
        <v>0</v>
      </c>
      <c r="J44" s="1139">
        <f>Poeng!BS350</f>
        <v>0.04</v>
      </c>
      <c r="K44" s="482">
        <f>BP_30*J44</f>
        <v>0</v>
      </c>
      <c r="L44" s="797">
        <f t="shared" si="5"/>
        <v>0</v>
      </c>
      <c r="M44" s="799">
        <f t="shared" si="6"/>
        <v>0</v>
      </c>
      <c r="N44" s="439"/>
      <c r="O44" s="439"/>
      <c r="P44" s="439"/>
      <c r="Q44" s="439"/>
      <c r="AB44" s="478" t="str">
        <f>IF(AF44=9,"",Poeng!BQ301)</f>
        <v>Ene 07</v>
      </c>
      <c r="AC44" s="479">
        <f>IF(AF44=9,"",IF(D$9=$AA$36,Poeng!BR301,""))</f>
        <v>0</v>
      </c>
      <c r="AD44" s="479" t="str">
        <f>IF(AF44=9,"",IF(F$9=$AA$36,Poeng!BS301,""))</f>
        <v/>
      </c>
      <c r="AE44" s="480" t="str">
        <f>IF(AF44=9,"",IF(H$9=$AA$36,Poeng!BT301,""))</f>
        <v/>
      </c>
      <c r="AF44" s="420">
        <f>Poeng!BR301</f>
        <v>0</v>
      </c>
    </row>
    <row r="45" spans="1:32" ht="15.75" x14ac:dyDescent="0.25">
      <c r="A45" s="419"/>
      <c r="B45" s="473" t="s">
        <v>73</v>
      </c>
      <c r="C45" s="474">
        <f>Inn_Credits</f>
        <v>10</v>
      </c>
      <c r="D45" s="475">
        <f>Inn_tot_user</f>
        <v>0</v>
      </c>
      <c r="E45" s="476">
        <f>BP_21/BP_10</f>
        <v>0</v>
      </c>
      <c r="F45" s="475">
        <f>Inn_d_user</f>
        <v>0</v>
      </c>
      <c r="G45" s="470">
        <f t="shared" si="3"/>
        <v>0</v>
      </c>
      <c r="H45" s="475">
        <f>Inn_c_user</f>
        <v>0</v>
      </c>
      <c r="I45" s="469">
        <f t="shared" si="4"/>
        <v>0</v>
      </c>
      <c r="J45" s="1139">
        <v>0.1</v>
      </c>
      <c r="K45" s="482">
        <f>BP_31*J45</f>
        <v>0</v>
      </c>
      <c r="L45" s="797">
        <f t="shared" si="5"/>
        <v>0</v>
      </c>
      <c r="M45" s="799">
        <f t="shared" si="6"/>
        <v>0</v>
      </c>
      <c r="N45" s="439"/>
      <c r="O45" s="439"/>
      <c r="P45" s="439"/>
      <c r="Q45" s="439"/>
      <c r="AB45" s="478" t="str">
        <f>Poeng!BQ302</f>
        <v>Tra 01</v>
      </c>
      <c r="AC45" s="479">
        <f>IF(D$9=$AA$36,Poeng!BR302,"")</f>
        <v>3</v>
      </c>
      <c r="AD45" s="479" t="str">
        <f>IF(F$9=$AA$36,Poeng!BS302,"")</f>
        <v/>
      </c>
      <c r="AE45" s="480" t="str">
        <f>IF(H$9=$AA$36,Poeng!BT302,"")</f>
        <v/>
      </c>
    </row>
    <row r="46" spans="1:32" ht="15.75" x14ac:dyDescent="0.25">
      <c r="A46" s="419"/>
      <c r="B46" s="483" t="s">
        <v>215</v>
      </c>
      <c r="C46" s="484">
        <f>SUM(C36:C45)</f>
        <v>153</v>
      </c>
      <c r="D46" s="485">
        <f>SUM(D36:D45)</f>
        <v>0</v>
      </c>
      <c r="E46" s="486"/>
      <c r="F46" s="487">
        <f>SUM(F36:F45)</f>
        <v>0</v>
      </c>
      <c r="G46" s="488"/>
      <c r="H46" s="485">
        <f>SUM(H36:H45)</f>
        <v>0</v>
      </c>
      <c r="I46" s="486"/>
      <c r="J46" s="1140">
        <f>SUM(J36:J45)</f>
        <v>1.1000000000000001</v>
      </c>
      <c r="K46" s="1137">
        <f>IF(SUM(K36:K45)&gt;1,1,SUM(K36:K45))</f>
        <v>0</v>
      </c>
      <c r="L46" s="489">
        <f t="shared" ref="L46:M46" si="7">IF(SUM(L36:L45)&gt;1,1,SUM(L36:L45))</f>
        <v>0</v>
      </c>
      <c r="M46" s="490">
        <f t="shared" si="7"/>
        <v>0</v>
      </c>
      <c r="N46" s="439"/>
      <c r="O46" s="439"/>
      <c r="P46" s="439"/>
      <c r="Q46" s="439"/>
      <c r="AB46" s="478" t="str">
        <f>Poeng!BQ303</f>
        <v>Wat 01</v>
      </c>
      <c r="AC46" s="479">
        <f>IF(D$9=$AA$36,Poeng!BR303,"")</f>
        <v>3</v>
      </c>
      <c r="AD46" s="479" t="str">
        <f>IF(F$9=$AA$36,Poeng!BS303,"")</f>
        <v/>
      </c>
      <c r="AE46" s="480" t="str">
        <f>IF(H$9=$AA$36,Poeng!BT303,"")</f>
        <v/>
      </c>
    </row>
    <row r="47" spans="1:32" ht="15.75" x14ac:dyDescent="0.25">
      <c r="A47" s="419"/>
      <c r="B47" s="491" t="s">
        <v>314</v>
      </c>
      <c r="C47" s="492"/>
      <c r="D47" s="492"/>
      <c r="E47" s="492"/>
      <c r="F47" s="492"/>
      <c r="G47" s="492"/>
      <c r="H47" s="492"/>
      <c r="I47" s="492"/>
      <c r="J47" s="1141"/>
      <c r="K47" s="482" t="str">
        <f>D10</f>
        <v>Unclassified</v>
      </c>
      <c r="L47" s="493" t="str">
        <f>F10</f>
        <v>Unclassified</v>
      </c>
      <c r="M47" s="486" t="str">
        <f>H10</f>
        <v>Unclassified</v>
      </c>
      <c r="N47" s="439"/>
      <c r="O47" s="439"/>
      <c r="P47" s="439"/>
      <c r="Q47" s="439"/>
      <c r="AB47" s="478" t="str">
        <f>Poeng!BQ304</f>
        <v>Mat 01</v>
      </c>
      <c r="AC47" s="479">
        <f>IF(D$9=$AA$36,Poeng!BR304,"")</f>
        <v>0</v>
      </c>
      <c r="AD47" s="479" t="str">
        <f>IF(F$9=$AA$36,Poeng!BS304,"")</f>
        <v/>
      </c>
      <c r="AE47" s="480" t="str">
        <f>IF(H$9=$AA$36,Poeng!BT304,"")</f>
        <v/>
      </c>
    </row>
    <row r="48" spans="1:32" ht="15.75" x14ac:dyDescent="0.25">
      <c r="A48" s="1266"/>
      <c r="B48" s="491" t="s">
        <v>81</v>
      </c>
      <c r="C48" s="492"/>
      <c r="D48" s="492"/>
      <c r="E48" s="492"/>
      <c r="F48" s="492"/>
      <c r="G48" s="492"/>
      <c r="H48" s="492"/>
      <c r="I48" s="492"/>
      <c r="J48" s="1141"/>
      <c r="K48" s="482" t="str">
        <f>D12</f>
        <v>Unclassified</v>
      </c>
      <c r="L48" s="493" t="str">
        <f>F12</f>
        <v>Unclassified</v>
      </c>
      <c r="M48" s="486" t="str">
        <f>H12</f>
        <v>Unclassified</v>
      </c>
      <c r="N48" s="494"/>
      <c r="O48" s="495"/>
      <c r="P48" s="496"/>
      <c r="Q48" s="496"/>
      <c r="R48" s="496"/>
      <c r="S48" s="496"/>
      <c r="AB48" s="478" t="str">
        <f>Poeng!BQ305</f>
        <v>Mat 02</v>
      </c>
      <c r="AC48" s="479">
        <f>IF(D$9=$AA$36,Poeng!BR305,"")</f>
        <v>0</v>
      </c>
      <c r="AD48" s="479" t="str">
        <f>IF(F$9=$AA$36,Poeng!BS305,"")</f>
        <v/>
      </c>
      <c r="AE48" s="480" t="str">
        <f>IF(H$9=$AA$36,Poeng!BT305,"")</f>
        <v/>
      </c>
    </row>
    <row r="49" spans="1:33" s="497" customFormat="1" ht="15.75" x14ac:dyDescent="0.25">
      <c r="B49" s="491" t="str">
        <f>C13</f>
        <v xml:space="preserve">Requirements for EU taxonomy </v>
      </c>
      <c r="C49" s="492"/>
      <c r="D49" s="492"/>
      <c r="E49" s="492"/>
      <c r="F49" s="492"/>
      <c r="G49" s="492"/>
      <c r="H49" s="492"/>
      <c r="I49" s="492"/>
      <c r="J49" s="1141"/>
      <c r="K49" s="482" t="str">
        <f>D13</f>
        <v>No</v>
      </c>
      <c r="L49" s="493" t="str">
        <f>F13</f>
        <v>No</v>
      </c>
      <c r="M49" s="486" t="str">
        <f>H13</f>
        <v>No</v>
      </c>
      <c r="O49" s="498"/>
      <c r="P49" s="498"/>
      <c r="Q49" s="498"/>
      <c r="R49" s="498"/>
      <c r="S49" s="498"/>
      <c r="T49" s="498"/>
      <c r="U49" s="498"/>
      <c r="AA49" s="420"/>
      <c r="AB49" s="478" t="str">
        <f>Poeng!BQ306</f>
        <v>Mat 03</v>
      </c>
      <c r="AC49" s="479">
        <f>IF(D$9=$AA$36,Poeng!BR306,"")</f>
        <v>0</v>
      </c>
      <c r="AD49" s="479" t="str">
        <f>IF(F$9=$AA$36,Poeng!BS306,"")</f>
        <v/>
      </c>
      <c r="AE49" s="480" t="str">
        <f>IF(H$9=$AA$36,Poeng!BT306,"")</f>
        <v/>
      </c>
      <c r="AF49" s="420"/>
      <c r="AG49" s="420"/>
    </row>
    <row r="50" spans="1:33" s="497" customFormat="1" x14ac:dyDescent="0.25">
      <c r="B50" s="419"/>
      <c r="C50" s="419"/>
      <c r="D50" s="419"/>
      <c r="E50" s="419"/>
      <c r="F50" s="419"/>
      <c r="G50" s="419"/>
      <c r="H50" s="419"/>
      <c r="I50" s="419"/>
      <c r="J50" s="419"/>
      <c r="K50" s="419"/>
      <c r="L50" s="419"/>
      <c r="M50" s="419"/>
      <c r="AA50" s="420"/>
      <c r="AB50" s="478" t="str">
        <f>Poeng!BQ307</f>
        <v>Mat 05</v>
      </c>
      <c r="AC50" s="479">
        <f>IF(D$9=$AA$36,Poeng!BR307,"")</f>
        <v>3</v>
      </c>
      <c r="AD50" s="479" t="str">
        <f>IF(F$9=$AA$36,Poeng!BS307,"")</f>
        <v/>
      </c>
      <c r="AE50" s="480" t="str">
        <f>IF(H$9=$AA$36,Poeng!BT307,"")</f>
        <v/>
      </c>
      <c r="AF50" s="420"/>
      <c r="AG50" s="420"/>
    </row>
    <row r="51" spans="1:33" s="419" customFormat="1" x14ac:dyDescent="0.25">
      <c r="A51" s="1229"/>
      <c r="B51" s="1229"/>
      <c r="C51" s="1229"/>
      <c r="D51" s="1229"/>
      <c r="E51" s="1229"/>
      <c r="F51" s="1229"/>
      <c r="G51" s="1229"/>
      <c r="H51" s="1229"/>
      <c r="I51" s="1229"/>
      <c r="J51" s="1229"/>
      <c r="K51" s="1229"/>
      <c r="L51" s="1229"/>
      <c r="M51" s="1229"/>
      <c r="N51" s="1229"/>
      <c r="O51" s="1229"/>
      <c r="P51" s="1229"/>
      <c r="Q51" s="1229"/>
      <c r="AA51" s="420"/>
      <c r="AB51" s="478" t="str">
        <f>Poeng!BQ308</f>
        <v>Mat 06</v>
      </c>
      <c r="AC51" s="479">
        <f>IF(D$9=$AA$36,Poeng!BR308,"")</f>
        <v>0</v>
      </c>
      <c r="AD51" s="479" t="str">
        <f>IF(F$9=$AA$36,Poeng!BS308,"")</f>
        <v/>
      </c>
      <c r="AE51" s="480" t="str">
        <f>IF(H$9=$AA$36,Poeng!BT308,"")</f>
        <v/>
      </c>
      <c r="AF51" s="497"/>
      <c r="AG51" s="497"/>
    </row>
    <row r="52" spans="1:33" s="419" customFormat="1" ht="32.25" x14ac:dyDescent="0.3">
      <c r="A52" s="1012"/>
      <c r="B52" s="426" t="s">
        <v>979</v>
      </c>
      <c r="C52" s="427"/>
      <c r="D52" s="428"/>
      <c r="E52" s="428"/>
      <c r="F52" s="428"/>
      <c r="G52" s="428"/>
      <c r="H52" s="428"/>
      <c r="I52" s="428"/>
      <c r="J52" s="462" t="s">
        <v>1079</v>
      </c>
      <c r="K52" s="462" t="s">
        <v>217</v>
      </c>
      <c r="L52" s="465" t="s">
        <v>285</v>
      </c>
      <c r="M52" s="463" t="s">
        <v>286</v>
      </c>
      <c r="N52" s="428"/>
      <c r="O52" s="428"/>
      <c r="P52" s="1229"/>
      <c r="Q52" s="1229"/>
      <c r="AA52" s="500"/>
      <c r="AB52" s="478" t="str">
        <f>Poeng!BQ309</f>
        <v>Mat 07</v>
      </c>
      <c r="AC52" s="479">
        <f>IF(D$9=$AA$36,Poeng!BR309,"")</f>
        <v>3</v>
      </c>
      <c r="AD52" s="479" t="str">
        <f>IF(F$9=$AA$36,Poeng!BS309,"")</f>
        <v/>
      </c>
      <c r="AE52" s="480" t="str">
        <f>IF(H$9=$AA$36,Poeng!BT309,"")</f>
        <v/>
      </c>
      <c r="AF52" s="497"/>
      <c r="AG52" s="497"/>
    </row>
    <row r="53" spans="1:33" s="419" customFormat="1" x14ac:dyDescent="0.25">
      <c r="A53" s="736"/>
      <c r="B53" s="1197" t="s">
        <v>63</v>
      </c>
      <c r="P53" s="1229"/>
      <c r="Q53" s="1229"/>
      <c r="AB53" s="478" t="str">
        <f>Poeng!BQ310</f>
        <v>Wst 01</v>
      </c>
      <c r="AC53" s="479">
        <f>IF(D$9=$AA$36,Poeng!BR310,"")</f>
        <v>0</v>
      </c>
      <c r="AD53" s="479" t="str">
        <f>IF(F$9=$AA$36,Poeng!BS310,"")</f>
        <v/>
      </c>
      <c r="AE53" s="480" t="str">
        <f>IF(H$9=$AA$36,Poeng!BT310,"")</f>
        <v/>
      </c>
    </row>
    <row r="54" spans="1:33" s="419" customFormat="1" x14ac:dyDescent="0.25">
      <c r="A54" s="1276" t="s">
        <v>713</v>
      </c>
      <c r="B54" s="1267" t="str">
        <f>VLOOKUP(A54,Poeng!$B$8:$BU$255,Poeng!$C$1,FALSE)</f>
        <v>Man 01</v>
      </c>
      <c r="C54" s="1268" t="s">
        <v>1081</v>
      </c>
      <c r="D54" s="1269"/>
      <c r="E54" s="1269"/>
      <c r="F54" s="1269"/>
      <c r="G54" s="1269"/>
      <c r="H54" s="1269"/>
      <c r="I54" s="1269"/>
      <c r="J54" s="1270">
        <f>VLOOKUP(A54,Poeng!$B$10:$BT$257,Poeng!$BQ$1,FALSE)</f>
        <v>1</v>
      </c>
      <c r="K54" s="1271">
        <f>VLOOKUP(A54,Poeng!$B$10:$BT$257,Poeng!$AI$1,FALSE)</f>
        <v>0</v>
      </c>
      <c r="L54" s="1271">
        <f>VLOOKUP(A54,Poeng!$B$10:$BT$257,Poeng!$AJ$1,FALSE)</f>
        <v>0</v>
      </c>
      <c r="M54" s="1271">
        <f>VLOOKUP(A54,Poeng!$B$10:$BT$257,Poeng!$AK$1,FALSE)</f>
        <v>0</v>
      </c>
      <c r="O54" s="1229"/>
      <c r="P54" s="1229"/>
      <c r="Q54" s="1229"/>
      <c r="T54" s="419" t="str">
        <f>IFERROR(VLOOKUP(A54,Poeng!$B$8:$BU$255,Poeng!$E$1,FALSE),"")</f>
        <v>Climate gas calculation for whole building life cycle (EU taxonomy requirement: criterion 2-3)</v>
      </c>
      <c r="AB54" s="478" t="str">
        <f>Poeng!BQ311</f>
        <v>Wst 03</v>
      </c>
      <c r="AC54" s="479">
        <f>IF(D$9=$AA$36,Poeng!BR311,"")</f>
        <v>3</v>
      </c>
      <c r="AD54" s="479" t="str">
        <f>IF(F$9=$AA$36,Poeng!BS311,"")</f>
        <v/>
      </c>
      <c r="AE54" s="480" t="str">
        <f>IF(H$9=$AA$36,Poeng!BT311,"")</f>
        <v/>
      </c>
    </row>
    <row r="55" spans="1:33" x14ac:dyDescent="0.25">
      <c r="A55" s="1276" t="s">
        <v>721</v>
      </c>
      <c r="B55" s="1272" t="str">
        <f>VLOOKUP(A55,Poeng!$B$8:$BU$255,Poeng!$C$1,FALSE)</f>
        <v>Man 03</v>
      </c>
      <c r="C55" s="1268" t="s">
        <v>1082</v>
      </c>
      <c r="D55" s="1269"/>
      <c r="E55" s="1269"/>
      <c r="F55" s="1269"/>
      <c r="G55" s="1269"/>
      <c r="H55" s="1269"/>
      <c r="I55" s="1269"/>
      <c r="J55" s="1270">
        <f>VLOOKUP(A55,Poeng!$B$10:$BT$257,Poeng!$BQ$1,FALSE)</f>
        <v>1</v>
      </c>
      <c r="K55" s="1271">
        <f>VLOOKUP(A55,Poeng!$B$10:$BT$257,Poeng!$AI$1,FALSE)</f>
        <v>0</v>
      </c>
      <c r="L55" s="1271">
        <f>VLOOKUP(A55,Poeng!$B$10:$BT$257,Poeng!$AJ$1,FALSE)</f>
        <v>0</v>
      </c>
      <c r="M55" s="1271">
        <f>VLOOKUP(A55,Poeng!$B$10:$BT$257,Poeng!$AK$1,FALSE)</f>
        <v>0</v>
      </c>
      <c r="N55" s="439"/>
      <c r="O55" s="1273"/>
      <c r="P55" s="1273"/>
      <c r="Q55" s="1273"/>
      <c r="T55" s="419" t="str">
        <f>IFERROR(VLOOKUP(A55,Poeng!$B$8:$BU$255,Poeng!$E$1,FALSE),"")</f>
        <v>Considerate contruction: clean and tidy building process and checklist A1 (EU taxonomy requirement: criterion 7-9)</v>
      </c>
      <c r="AB55" s="478" t="str">
        <f>Poeng!BQ312</f>
        <v>LE 01</v>
      </c>
      <c r="AC55" s="479">
        <f>IF(D$9=$AA$36,Poeng!BR312,"")</f>
        <v>3</v>
      </c>
      <c r="AD55" s="479" t="str">
        <f>IF(F$9=$AA$36,Poeng!BS312,"")</f>
        <v/>
      </c>
      <c r="AE55" s="480" t="str">
        <f>IF(H$9=$AA$36,Poeng!BT312,"")</f>
        <v/>
      </c>
      <c r="AF55" s="419"/>
      <c r="AG55" s="419"/>
    </row>
    <row r="56" spans="1:33" x14ac:dyDescent="0.25">
      <c r="A56" s="1276" t="s">
        <v>722</v>
      </c>
      <c r="B56" s="1272" t="str">
        <f>VLOOKUP(A56,Poeng!$B$8:$BU$255,Poeng!$C$1,FALSE)</f>
        <v>Man 03</v>
      </c>
      <c r="C56" s="1268" t="s">
        <v>1083</v>
      </c>
      <c r="D56" s="1269"/>
      <c r="E56" s="1269"/>
      <c r="F56" s="1269"/>
      <c r="G56" s="1269"/>
      <c r="H56" s="1269"/>
      <c r="I56" s="1269"/>
      <c r="J56" s="1270">
        <f>VLOOKUP(A56,Poeng!$B$10:$BT$257,Poeng!$BQ$1,FALSE)</f>
        <v>1</v>
      </c>
      <c r="K56" s="1271">
        <f>VLOOKUP(A56,Poeng!$B$10:$BT$257,Poeng!$AI$1,FALSE)</f>
        <v>0</v>
      </c>
      <c r="L56" s="1271">
        <f>VLOOKUP(A56,Poeng!$B$10:$BT$257,Poeng!$AJ$1,FALSE)</f>
        <v>0</v>
      </c>
      <c r="M56" s="1271">
        <f>VLOOKUP(A56,Poeng!$B$10:$BT$257,Poeng!$AK$1,FALSE)</f>
        <v>0</v>
      </c>
      <c r="N56" s="439"/>
      <c r="O56" s="1273"/>
      <c r="P56" s="1273"/>
      <c r="Q56" s="1273"/>
      <c r="T56" s="419" t="str">
        <f>IFERROR(VLOOKUP(A56,Poeng!$B$8:$BU$255,Poeng!$E$1,FALSE),"")</f>
        <v>Considerate contruction: INSTA 800 and checklist A1 (EU taxonomy requirement: criterion 7-9)</v>
      </c>
      <c r="AB56" s="478" t="str">
        <f>Poeng!BQ313</f>
        <v>LE 02</v>
      </c>
      <c r="AC56" s="479">
        <f>IF(D$9=$AA$36,Poeng!BR313,"")</f>
        <v>2</v>
      </c>
      <c r="AD56" s="479" t="str">
        <f>IF(F$9=$AA$36,Poeng!BS313,"")</f>
        <v/>
      </c>
      <c r="AE56" s="480" t="str">
        <f>IF(H$9=$AA$36,Poeng!BT313,"")</f>
        <v/>
      </c>
      <c r="AF56" s="419"/>
      <c r="AG56" s="419"/>
    </row>
    <row r="57" spans="1:33" x14ac:dyDescent="0.25">
      <c r="A57" s="1276"/>
      <c r="B57" s="1273"/>
      <c r="C57" s="1273" t="s">
        <v>1080</v>
      </c>
      <c r="D57" s="1273"/>
      <c r="E57" s="1273"/>
      <c r="F57" s="1273"/>
      <c r="G57" s="1273"/>
      <c r="H57" s="1273"/>
      <c r="I57" s="1273"/>
      <c r="J57" s="1274"/>
      <c r="K57" s="1273"/>
      <c r="L57" s="1273"/>
      <c r="M57" s="1273"/>
      <c r="N57" s="439"/>
      <c r="O57" s="1273"/>
      <c r="P57" s="1273"/>
      <c r="Q57" s="1273"/>
      <c r="T57" s="419" t="str">
        <f>IFERROR(VLOOKUP(A57,Poeng!$B$8:$BU$255,Poeng!$E$1,FALSE),"")</f>
        <v/>
      </c>
      <c r="AB57" s="478" t="str">
        <f>Poeng!BQ314</f>
        <v>LE 04</v>
      </c>
      <c r="AC57" s="479">
        <f>IF(D$9=$AA$36,Poeng!BR314,"")</f>
        <v>4</v>
      </c>
      <c r="AD57" s="479" t="str">
        <f>IF(F$9=$AA$36,Poeng!BS314,"")</f>
        <v/>
      </c>
      <c r="AE57" s="480" t="str">
        <f>IF(H$9=$AA$36,Poeng!BT314,"")</f>
        <v/>
      </c>
    </row>
    <row r="58" spans="1:33" x14ac:dyDescent="0.25">
      <c r="A58" s="1275"/>
      <c r="B58" s="1197" t="s">
        <v>66</v>
      </c>
      <c r="C58" s="1229" t="s">
        <v>1080</v>
      </c>
      <c r="D58" s="1273"/>
      <c r="E58" s="1273"/>
      <c r="F58" s="1273"/>
      <c r="G58" s="1273"/>
      <c r="H58" s="1273"/>
      <c r="I58" s="1273"/>
      <c r="J58" s="1274"/>
      <c r="K58" s="1273"/>
      <c r="L58" s="1273"/>
      <c r="M58" s="1273"/>
      <c r="N58" s="439"/>
      <c r="O58" s="1273"/>
      <c r="P58" s="1273"/>
      <c r="Q58" s="1273"/>
      <c r="T58" s="419" t="str">
        <f>IFERROR(VLOOKUP(A58,Poeng!$B$8:$BU$255,Poeng!$E$1,FALSE),"")</f>
        <v/>
      </c>
      <c r="AB58" s="478" t="str">
        <f>Poeng!BQ315</f>
        <v>LE 06</v>
      </c>
      <c r="AC58" s="479">
        <f>IF(D$9=$AA$36,Poeng!BR315,"")</f>
        <v>3</v>
      </c>
      <c r="AD58" s="479" t="str">
        <f>IF(F$9=$AA$36,Poeng!BS315,"")</f>
        <v/>
      </c>
      <c r="AE58" s="480" t="str">
        <f>IF(H$9=$AA$36,Poeng!BT315,"")</f>
        <v/>
      </c>
    </row>
    <row r="59" spans="1:33" x14ac:dyDescent="0.25">
      <c r="A59" s="1275" t="s">
        <v>736</v>
      </c>
      <c r="B59" s="1267" t="str">
        <f>VLOOKUP(A59,Poeng!$B$8:$BU$255,Poeng!$C$1,FALSE)</f>
        <v>Hea 02</v>
      </c>
      <c r="C59" s="1268" t="s">
        <v>1084</v>
      </c>
      <c r="D59" s="1269"/>
      <c r="E59" s="1269"/>
      <c r="F59" s="1269"/>
      <c r="G59" s="1269"/>
      <c r="H59" s="1269"/>
      <c r="I59" s="1269"/>
      <c r="J59" s="1270">
        <f>VLOOKUP(A59,Poeng!$B$10:$BT$257,Poeng!$BQ$1,FALSE)</f>
        <v>2</v>
      </c>
      <c r="K59" s="1271">
        <f>VLOOKUP(A59,Poeng!$B$10:$BT$257,Poeng!$AI$1,FALSE)</f>
        <v>0</v>
      </c>
      <c r="L59" s="1271">
        <f>VLOOKUP(A59,Poeng!$B$10:$BT$257,Poeng!$AJ$1,FALSE)</f>
        <v>0</v>
      </c>
      <c r="M59" s="1271">
        <f>VLOOKUP(A59,Poeng!$B$10:$BT$257,Poeng!$AK$1,FALSE)</f>
        <v>0</v>
      </c>
      <c r="N59" s="439"/>
      <c r="O59" s="439"/>
      <c r="P59" s="1273"/>
      <c r="Q59" s="1273"/>
      <c r="T59" s="419" t="str">
        <f>IFERROR(VLOOKUP(A59,Poeng!$B$8:$BU$255,Poeng!$E$1,FALSE),"")</f>
        <v>Emissions from construction products (EU taxonomy requirement: criterion 5)</v>
      </c>
      <c r="AB59" s="1230"/>
      <c r="AC59" s="1230"/>
      <c r="AD59" s="1230"/>
      <c r="AE59" s="1230"/>
    </row>
    <row r="60" spans="1:33" x14ac:dyDescent="0.25">
      <c r="A60" s="1275"/>
      <c r="B60" s="419"/>
      <c r="C60" s="1229" t="s">
        <v>1080</v>
      </c>
      <c r="D60" s="439"/>
      <c r="E60" s="439"/>
      <c r="F60" s="439"/>
      <c r="G60" s="439"/>
      <c r="H60" s="439"/>
      <c r="I60" s="439"/>
      <c r="J60" s="1274"/>
      <c r="K60" s="439"/>
      <c r="L60" s="439"/>
      <c r="M60" s="439"/>
      <c r="N60" s="439"/>
      <c r="O60" s="439"/>
      <c r="P60" s="1273"/>
      <c r="Q60" s="1273"/>
      <c r="T60" s="419" t="str">
        <f>IFERROR(VLOOKUP(A60,Poeng!$B$8:$BU$255,Poeng!$E$1,FALSE),"")</f>
        <v/>
      </c>
    </row>
    <row r="61" spans="1:33" x14ac:dyDescent="0.25">
      <c r="A61" s="1275"/>
      <c r="B61" s="1197" t="s">
        <v>67</v>
      </c>
      <c r="C61" s="1229" t="s">
        <v>1080</v>
      </c>
      <c r="D61" s="439"/>
      <c r="E61" s="439"/>
      <c r="F61" s="439"/>
      <c r="G61" s="439"/>
      <c r="H61" s="439"/>
      <c r="I61" s="439"/>
      <c r="J61" s="1274"/>
      <c r="K61" s="439"/>
      <c r="L61" s="439"/>
      <c r="M61" s="439"/>
      <c r="N61" s="439"/>
      <c r="O61" s="439"/>
      <c r="P61" s="1273"/>
      <c r="Q61" s="439"/>
      <c r="T61" s="419" t="str">
        <f>IFERROR(VLOOKUP(A61,Poeng!$B$8:$BU$255,Poeng!$E$1,FALSE),"")</f>
        <v/>
      </c>
      <c r="AB61" s="420" t="s">
        <v>1042</v>
      </c>
      <c r="AC61" s="420">
        <v>5</v>
      </c>
    </row>
    <row r="62" spans="1:33" x14ac:dyDescent="0.25">
      <c r="A62" s="1275" t="s">
        <v>1032</v>
      </c>
      <c r="B62" s="1267" t="str">
        <f>VLOOKUP(A62,Poeng!$B$8:$BU$255,Poeng!$C$1,FALSE)</f>
        <v>Ene 01</v>
      </c>
      <c r="C62" s="1268" t="s">
        <v>1085</v>
      </c>
      <c r="D62" s="1269"/>
      <c r="E62" s="1269"/>
      <c r="F62" s="1269"/>
      <c r="G62" s="1269"/>
      <c r="H62" s="1269"/>
      <c r="I62" s="1269"/>
      <c r="J62" s="1270" t="str">
        <f>VLOOKUP(A62,Poeng!$B$10:$BT$257,Poeng!$BQ$1,FALSE)</f>
        <v>Yes</v>
      </c>
      <c r="K62" s="1271">
        <f>VLOOKUP(A62,Poeng!$B$10:$BT$257,Poeng!$AI$1,FALSE)</f>
        <v>0</v>
      </c>
      <c r="L62" s="1271">
        <f>VLOOKUP(A62,Poeng!$B$10:$BT$257,Poeng!$AJ$1,FALSE)</f>
        <v>0</v>
      </c>
      <c r="M62" s="1271">
        <f>VLOOKUP(A62,Poeng!$B$10:$BT$257,Poeng!$AK$1,FALSE)</f>
        <v>0</v>
      </c>
      <c r="N62" s="439"/>
      <c r="O62" s="439"/>
      <c r="P62" s="439"/>
      <c r="Q62" s="439"/>
      <c r="T62" s="419" t="str">
        <f>IFERROR(VLOOKUP(A62,Poeng!$B$8:$BU$255,Poeng!$E$1,FALSE),"")</f>
        <v>EU taxonomy requirements: criterion 10 - thermographic survey</v>
      </c>
      <c r="AB62" s="420" t="s">
        <v>1043</v>
      </c>
    </row>
    <row r="63" spans="1:33" x14ac:dyDescent="0.25">
      <c r="A63" s="1275" t="s">
        <v>749</v>
      </c>
      <c r="B63" s="1267" t="str">
        <f>VLOOKUP(A63,Poeng!$B$8:$BU$255,Poeng!$C$1,FALSE)</f>
        <v>Ene 01</v>
      </c>
      <c r="C63" s="1268" t="s">
        <v>1086</v>
      </c>
      <c r="D63" s="1269"/>
      <c r="E63" s="1269"/>
      <c r="F63" s="1269"/>
      <c r="G63" s="1269"/>
      <c r="H63" s="1269"/>
      <c r="I63" s="1269"/>
      <c r="J63" s="1270">
        <f>VLOOKUP(A63,Poeng!$B$10:$BT$257,Poeng!$BQ$1,FALSE)</f>
        <v>1</v>
      </c>
      <c r="K63" s="1271">
        <f>VLOOKUP(A63,Poeng!$B$10:$BT$257,Poeng!$AI$1,FALSE)</f>
        <v>0</v>
      </c>
      <c r="L63" s="1271">
        <f>VLOOKUP(A63,Poeng!$B$10:$BT$257,Poeng!$AJ$1,FALSE)</f>
        <v>0</v>
      </c>
      <c r="M63" s="1271">
        <f>VLOOKUP(A63,Poeng!$B$10:$BT$257,Poeng!$AK$1,FALSE)</f>
        <v>0</v>
      </c>
      <c r="N63" s="439"/>
      <c r="O63" s="439"/>
      <c r="P63" s="1266"/>
      <c r="Q63" s="439"/>
      <c r="T63" s="419" t="str">
        <f>IFERROR(VLOOKUP(A63,Poeng!$B$8:$BU$255,Poeng!$E$1,FALSE),"")</f>
        <v>Adaptation to EU taxonomy (criterion 12)</v>
      </c>
    </row>
    <row r="64" spans="1:33" x14ac:dyDescent="0.25">
      <c r="A64" s="1275"/>
      <c r="B64" s="419"/>
      <c r="C64" s="1229" t="s">
        <v>1080</v>
      </c>
      <c r="D64" s="439"/>
      <c r="E64" s="439"/>
      <c r="F64" s="439"/>
      <c r="G64" s="439"/>
      <c r="H64" s="439"/>
      <c r="I64" s="439"/>
      <c r="J64" s="1274"/>
      <c r="K64" s="439"/>
      <c r="L64" s="439"/>
      <c r="M64" s="439"/>
      <c r="N64" s="439"/>
      <c r="O64" s="439"/>
      <c r="P64" s="439"/>
      <c r="Q64" s="439"/>
      <c r="T64" s="419" t="str">
        <f>IFERROR(VLOOKUP(A64,Poeng!$B$8:$BU$255,Poeng!$E$1,FALSE),"")</f>
        <v/>
      </c>
    </row>
    <row r="65" spans="1:20" x14ac:dyDescent="0.25">
      <c r="A65" s="1275"/>
      <c r="B65" s="1197" t="s">
        <v>60</v>
      </c>
      <c r="C65" s="1229" t="s">
        <v>1080</v>
      </c>
      <c r="D65" s="439"/>
      <c r="E65" s="439"/>
      <c r="F65" s="439"/>
      <c r="G65" s="439"/>
      <c r="H65" s="439"/>
      <c r="I65" s="439"/>
      <c r="J65" s="1274"/>
      <c r="K65" s="439"/>
      <c r="L65" s="439"/>
      <c r="M65" s="439"/>
      <c r="N65" s="439"/>
      <c r="O65" s="439"/>
      <c r="P65" s="439"/>
      <c r="Q65" s="439"/>
      <c r="T65" s="419" t="str">
        <f>IFERROR(VLOOKUP(A65,Poeng!$B$8:$BU$255,Poeng!$E$1,FALSE),"")</f>
        <v/>
      </c>
    </row>
    <row r="66" spans="1:20" x14ac:dyDescent="0.25">
      <c r="A66" s="1275" t="s">
        <v>1033</v>
      </c>
      <c r="B66" s="1267" t="str">
        <f>VLOOKUP(A66,Poeng!$B$8:$BU$255,Poeng!$C$1,FALSE)</f>
        <v>Wat 01</v>
      </c>
      <c r="C66" s="1268" t="s">
        <v>1067</v>
      </c>
      <c r="D66" s="1269"/>
      <c r="E66" s="1269"/>
      <c r="F66" s="1269"/>
      <c r="G66" s="1269"/>
      <c r="H66" s="1269"/>
      <c r="I66" s="1269"/>
      <c r="J66" s="1270" t="str">
        <f>VLOOKUP(A66,Poeng!$B$10:$BT$257,Poeng!$BQ$1,FALSE)</f>
        <v>Yes</v>
      </c>
      <c r="K66" s="1271">
        <f>VLOOKUP(A66,Poeng!$B$10:$BT$257,Poeng!$AI$1,FALSE)</f>
        <v>0</v>
      </c>
      <c r="L66" s="1271">
        <f>VLOOKUP(A66,Poeng!$B$10:$BT$257,Poeng!$AJ$1,FALSE)</f>
        <v>0</v>
      </c>
      <c r="M66" s="1271">
        <f>VLOOKUP(A66,Poeng!$B$10:$BT$257,Poeng!$AK$1,FALSE)</f>
        <v>0</v>
      </c>
      <c r="N66" s="439"/>
      <c r="O66" s="439"/>
      <c r="P66" s="439"/>
      <c r="Q66" s="439"/>
      <c r="T66" s="419" t="str">
        <f>IFERROR(VLOOKUP(A66,Poeng!$B$8:$BU$255,Poeng!$E$1,FALSE),"")</f>
        <v>EU taxonomy requirements: criterion 1-3</v>
      </c>
    </row>
    <row r="67" spans="1:20" x14ac:dyDescent="0.25">
      <c r="A67" s="1275"/>
      <c r="B67" s="419"/>
      <c r="C67" s="1229" t="s">
        <v>1080</v>
      </c>
      <c r="D67" s="439"/>
      <c r="E67" s="439"/>
      <c r="F67" s="439"/>
      <c r="G67" s="439"/>
      <c r="H67" s="439"/>
      <c r="I67" s="439"/>
      <c r="J67" s="1274"/>
      <c r="K67" s="439"/>
      <c r="L67" s="439"/>
      <c r="M67" s="439"/>
      <c r="N67" s="439"/>
      <c r="O67" s="439"/>
      <c r="P67" s="1266"/>
      <c r="Q67" s="439"/>
      <c r="T67" s="419" t="str">
        <f>IFERROR(VLOOKUP(A67,Poeng!$B$8:$BU$255,Poeng!$E$1,FALSE),"")</f>
        <v/>
      </c>
    </row>
    <row r="68" spans="1:20" x14ac:dyDescent="0.25">
      <c r="A68" s="1275"/>
      <c r="B68" s="1197" t="s">
        <v>69</v>
      </c>
      <c r="C68" s="1229" t="s">
        <v>1080</v>
      </c>
      <c r="D68" s="439"/>
      <c r="E68" s="439"/>
      <c r="F68" s="439"/>
      <c r="G68" s="439"/>
      <c r="H68" s="439"/>
      <c r="I68" s="439"/>
      <c r="J68" s="1274"/>
      <c r="K68" s="439"/>
      <c r="L68" s="439"/>
      <c r="M68" s="439"/>
      <c r="N68" s="439"/>
      <c r="O68" s="439"/>
      <c r="P68" s="439"/>
      <c r="Q68" s="439"/>
      <c r="T68" s="419" t="str">
        <f>IFERROR(VLOOKUP(A68,Poeng!$B$8:$BU$255,Poeng!$E$1,FALSE),"")</f>
        <v/>
      </c>
    </row>
    <row r="69" spans="1:20" x14ac:dyDescent="0.25">
      <c r="A69" s="1275" t="s">
        <v>774</v>
      </c>
      <c r="B69" s="1267" t="str">
        <f>VLOOKUP(A69,Poeng!$B$8:$BU$255,Poeng!$C$1,FALSE)</f>
        <v>Mat 02</v>
      </c>
      <c r="C69" s="1268" t="s">
        <v>1087</v>
      </c>
      <c r="D69" s="1269"/>
      <c r="E69" s="1269"/>
      <c r="F69" s="1269"/>
      <c r="G69" s="1269"/>
      <c r="H69" s="1269"/>
      <c r="I69" s="1269"/>
      <c r="J69" s="1270" t="str">
        <f>VLOOKUP(A69,Poeng!$B$10:$BT$257,Poeng!$BQ$1,FALSE)</f>
        <v>Yes</v>
      </c>
      <c r="K69" s="1271">
        <f>VLOOKUP(A69,Poeng!$B$10:$BT$257,Poeng!$AI$1,FALSE)</f>
        <v>0</v>
      </c>
      <c r="L69" s="1271">
        <f>VLOOKUP(A69,Poeng!$B$10:$BT$257,Poeng!$AJ$1,FALSE)</f>
        <v>0</v>
      </c>
      <c r="M69" s="1271">
        <f>VLOOKUP(A69,Poeng!$B$10:$BT$257,Poeng!$AK$1,FALSE)</f>
        <v>0</v>
      </c>
      <c r="N69" s="439"/>
      <c r="O69" s="439"/>
      <c r="P69" s="439"/>
      <c r="Q69" s="439"/>
      <c r="T69" s="419" t="str">
        <f>IFERROR(VLOOKUP(A69,Poeng!$B$8:$BU$255,Poeng!$E$1,FALSE),"")</f>
        <v>Minimum req: absence of environmental toxins (EU taxonomy requirement: criterion 1)</v>
      </c>
    </row>
    <row r="70" spans="1:20" x14ac:dyDescent="0.25">
      <c r="A70" s="1275" t="s">
        <v>784</v>
      </c>
      <c r="B70" s="1267" t="str">
        <f>VLOOKUP(A70,Poeng!$B$8:$BU$255,Poeng!$C$1,FALSE)</f>
        <v>Mat 06</v>
      </c>
      <c r="C70" s="1268" t="s">
        <v>1088</v>
      </c>
      <c r="D70" s="1269"/>
      <c r="E70" s="1269"/>
      <c r="F70" s="1269"/>
      <c r="G70" s="1269"/>
      <c r="H70" s="1269"/>
      <c r="I70" s="1269"/>
      <c r="J70" s="1270">
        <f>VLOOKUP(A70,Poeng!$B$10:$BT$257,Poeng!$BQ$1,FALSE)</f>
        <v>1</v>
      </c>
      <c r="K70" s="1271">
        <f>VLOOKUP(A70,Poeng!$B$10:$BT$257,Poeng!$AI$1,FALSE)</f>
        <v>0</v>
      </c>
      <c r="L70" s="1271">
        <f>VLOOKUP(A70,Poeng!$B$10:$BT$257,Poeng!$AJ$1,FALSE)</f>
        <v>0</v>
      </c>
      <c r="M70" s="1271">
        <f>VLOOKUP(A70,Poeng!$B$10:$BT$257,Poeng!$AK$1,FALSE)</f>
        <v>0</v>
      </c>
      <c r="N70" s="439"/>
      <c r="O70" s="439"/>
      <c r="P70" s="439"/>
      <c r="Q70" s="439"/>
      <c r="T70" s="419" t="str">
        <f>IFERROR(VLOOKUP(A70,Poeng!$B$8:$BU$255,Poeng!$E$1,FALSE),"")</f>
        <v>Mapping for component reuse and implementation (EU taxonomy requirement: criterion 1-3)</v>
      </c>
    </row>
    <row r="71" spans="1:20" x14ac:dyDescent="0.25">
      <c r="A71" s="1275" t="s">
        <v>788</v>
      </c>
      <c r="B71" s="1267" t="str">
        <f>VLOOKUP(A71,Poeng!$B$8:$BU$255,Poeng!$C$1,FALSE)</f>
        <v>Mat 07</v>
      </c>
      <c r="C71" s="1268" t="s">
        <v>1089</v>
      </c>
      <c r="D71" s="1269"/>
      <c r="E71" s="1269"/>
      <c r="F71" s="1269"/>
      <c r="G71" s="1269"/>
      <c r="H71" s="1269"/>
      <c r="I71" s="1269"/>
      <c r="J71" s="1270">
        <f>VLOOKUP(A71,Poeng!$B$10:$BT$257,Poeng!$BQ$1,FALSE)</f>
        <v>1</v>
      </c>
      <c r="K71" s="1271">
        <f>VLOOKUP(A71,Poeng!$B$10:$BT$257,Poeng!$AI$1,FALSE)</f>
        <v>0</v>
      </c>
      <c r="L71" s="1271">
        <f>VLOOKUP(A71,Poeng!$B$10:$BT$257,Poeng!$AJ$1,FALSE)</f>
        <v>0</v>
      </c>
      <c r="M71" s="1271">
        <f>VLOOKUP(A71,Poeng!$B$10:$BT$257,Poeng!$AK$1,FALSE)</f>
        <v>0</v>
      </c>
      <c r="N71" s="439"/>
      <c r="O71" s="439"/>
      <c r="P71" s="439"/>
      <c r="Q71" s="439"/>
      <c r="T71" s="419" t="str">
        <f>IFERROR(VLOOKUP(A71,Poeng!$B$8:$BU$255,Poeng!$E$1,FALSE),"")</f>
        <v>Design for disassembly and functional adaptability - recommendations (EU taxonomy requirement: criterion 2-6)</v>
      </c>
    </row>
    <row r="72" spans="1:20" x14ac:dyDescent="0.25">
      <c r="A72" s="1275" t="s">
        <v>789</v>
      </c>
      <c r="B72" s="1267" t="str">
        <f>VLOOKUP(A72,Poeng!$B$8:$BU$255,Poeng!$C$1,FALSE)</f>
        <v>Mat 07</v>
      </c>
      <c r="C72" s="1268" t="s">
        <v>1090</v>
      </c>
      <c r="D72" s="1269"/>
      <c r="E72" s="1269"/>
      <c r="F72" s="1269"/>
      <c r="G72" s="1269"/>
      <c r="H72" s="1269"/>
      <c r="I72" s="1269"/>
      <c r="J72" s="1270">
        <f>VLOOKUP(A72,Poeng!$B$10:$BT$257,Poeng!$BQ$1,FALSE)</f>
        <v>1</v>
      </c>
      <c r="K72" s="1271">
        <f>VLOOKUP(A72,Poeng!$B$10:$BT$257,Poeng!$AI$1,FALSE)</f>
        <v>0</v>
      </c>
      <c r="L72" s="1271">
        <f>VLOOKUP(A72,Poeng!$B$10:$BT$257,Poeng!$AJ$1,FALSE)</f>
        <v>0</v>
      </c>
      <c r="M72" s="1271">
        <f>VLOOKUP(A72,Poeng!$B$10:$BT$257,Poeng!$AK$1,FALSE)</f>
        <v>0</v>
      </c>
      <c r="N72" s="439"/>
      <c r="O72" s="439"/>
      <c r="P72" s="439"/>
      <c r="Q72" s="439"/>
      <c r="T72" s="419" t="str">
        <f>IFERROR(VLOOKUP(A72,Poeng!$B$8:$BU$255,Poeng!$E$1,FALSE),"")</f>
        <v>Disassembly and functional adaptability - implementation (EU taxonomy requirement: criterion 2-6)</v>
      </c>
    </row>
    <row r="73" spans="1:20" x14ac:dyDescent="0.25">
      <c r="A73" s="1275"/>
      <c r="B73" s="419"/>
      <c r="C73" s="1229" t="s">
        <v>1080</v>
      </c>
      <c r="D73" s="439"/>
      <c r="E73" s="439"/>
      <c r="F73" s="439"/>
      <c r="G73" s="439"/>
      <c r="H73" s="439"/>
      <c r="I73" s="439"/>
      <c r="J73" s="1274"/>
      <c r="K73" s="439"/>
      <c r="L73" s="439"/>
      <c r="M73" s="439"/>
      <c r="N73" s="439"/>
      <c r="O73" s="439"/>
      <c r="P73" s="439"/>
      <c r="Q73" s="439"/>
      <c r="T73" s="419" t="str">
        <f>IFERROR(VLOOKUP(A73,Poeng!$B$8:$BU$255,Poeng!$E$1,FALSE),"")</f>
        <v/>
      </c>
    </row>
    <row r="74" spans="1:20" x14ac:dyDescent="0.25">
      <c r="A74" s="1275"/>
      <c r="B74" s="1197" t="s">
        <v>70</v>
      </c>
      <c r="C74" s="1229" t="s">
        <v>1080</v>
      </c>
      <c r="D74" s="439"/>
      <c r="E74" s="439"/>
      <c r="F74" s="439"/>
      <c r="G74" s="439"/>
      <c r="H74" s="439"/>
      <c r="I74" s="439"/>
      <c r="J74" s="1274"/>
      <c r="K74" s="439"/>
      <c r="L74" s="439"/>
      <c r="M74" s="439"/>
      <c r="N74" s="439"/>
      <c r="O74" s="439"/>
      <c r="P74" s="439"/>
      <c r="Q74" s="439"/>
      <c r="T74" s="419" t="str">
        <f>IFERROR(VLOOKUP(A74,Poeng!$B$8:$BU$255,Poeng!$E$1,FALSE),"")</f>
        <v/>
      </c>
    </row>
    <row r="75" spans="1:20" x14ac:dyDescent="0.25">
      <c r="A75" s="1275" t="s">
        <v>1034</v>
      </c>
      <c r="B75" s="1267" t="str">
        <f>VLOOKUP(A75,Poeng!$B$8:$BU$255,Poeng!$C$1,FALSE)</f>
        <v>Wst 01</v>
      </c>
      <c r="C75" s="1268" t="s">
        <v>1036</v>
      </c>
      <c r="D75" s="1269"/>
      <c r="E75" s="1269"/>
      <c r="F75" s="1269"/>
      <c r="G75" s="1269"/>
      <c r="H75" s="1269"/>
      <c r="I75" s="1269"/>
      <c r="J75" s="1270" t="str">
        <f>VLOOKUP(A75,Poeng!$B$10:$BT$257,Poeng!$BQ$1,FALSE)</f>
        <v>Yes</v>
      </c>
      <c r="K75" s="1271">
        <f>VLOOKUP(A75,Poeng!$B$10:$BT$257,Poeng!$AI$1,FALSE)</f>
        <v>0</v>
      </c>
      <c r="L75" s="1271">
        <f>VLOOKUP(A75,Poeng!$B$10:$BT$257,Poeng!$AJ$1,FALSE)</f>
        <v>0</v>
      </c>
      <c r="M75" s="1271">
        <f>VLOOKUP(A75,Poeng!$B$10:$BT$257,Poeng!$AK$1,FALSE)</f>
        <v>0</v>
      </c>
      <c r="N75" s="439"/>
      <c r="O75" s="439"/>
      <c r="P75" s="439"/>
      <c r="Q75" s="439"/>
      <c r="T75" s="419" t="str">
        <f>IFERROR(VLOOKUP(A75,Poeng!$B$8:$BU$255,Poeng!$E$1,FALSE),"")</f>
        <v>EU taxonomy requirement: criterion 1</v>
      </c>
    </row>
    <row r="76" spans="1:20" x14ac:dyDescent="0.25">
      <c r="A76" s="1275" t="s">
        <v>988</v>
      </c>
      <c r="B76" s="1267" t="str">
        <f>VLOOKUP(A76,Poeng!$B$8:$BU$255,Poeng!$C$1,FALSE)</f>
        <v>Wst 01</v>
      </c>
      <c r="C76" s="1268" t="s">
        <v>1091</v>
      </c>
      <c r="D76" s="1269"/>
      <c r="E76" s="1269"/>
      <c r="F76" s="1269"/>
      <c r="G76" s="1269"/>
      <c r="H76" s="1269"/>
      <c r="I76" s="1269"/>
      <c r="J76" s="1270" t="str">
        <f>VLOOKUP(A76,Poeng!$B$10:$BT$257,Poeng!$BQ$1,FALSE)</f>
        <v>Yes</v>
      </c>
      <c r="K76" s="1271">
        <f>VLOOKUP(A76,Poeng!$B$10:$BT$257,Poeng!$AI$1,FALSE)</f>
        <v>0</v>
      </c>
      <c r="L76" s="1271">
        <f>VLOOKUP(A76,Poeng!$B$10:$BT$257,Poeng!$AJ$1,FALSE)</f>
        <v>0</v>
      </c>
      <c r="M76" s="1271">
        <f>VLOOKUP(A76,Poeng!$B$10:$BT$257,Poeng!$AK$1,FALSE)</f>
        <v>0</v>
      </c>
      <c r="N76" s="439"/>
      <c r="O76" s="439"/>
      <c r="P76" s="439"/>
      <c r="Q76" s="439"/>
      <c r="T76" s="419" t="str">
        <f>IFERROR(VLOOKUP(A76,Poeng!$B$8:$BU$255,Poeng!$E$1,FALSE),"")</f>
        <v>EU taxonomy requirement: criterion 4, waste sorting ≥70%</v>
      </c>
    </row>
    <row r="77" spans="1:20" x14ac:dyDescent="0.25">
      <c r="A77" s="1275"/>
      <c r="B77" s="419"/>
      <c r="C77" s="1229" t="s">
        <v>1080</v>
      </c>
      <c r="D77" s="439"/>
      <c r="E77" s="439"/>
      <c r="F77" s="439"/>
      <c r="G77" s="439"/>
      <c r="H77" s="439"/>
      <c r="I77" s="439"/>
      <c r="J77" s="1274"/>
      <c r="K77" s="439"/>
      <c r="L77" s="439"/>
      <c r="M77" s="439"/>
      <c r="N77" s="439"/>
      <c r="O77" s="439"/>
      <c r="P77" s="439"/>
      <c r="Q77" s="439"/>
      <c r="T77" s="419" t="str">
        <f>IFERROR(VLOOKUP(A77,Poeng!$B$8:$BU$255,Poeng!$E$1,FALSE),"")</f>
        <v/>
      </c>
    </row>
    <row r="78" spans="1:20" x14ac:dyDescent="0.25">
      <c r="A78" s="1275"/>
      <c r="B78" s="1197" t="s">
        <v>71</v>
      </c>
      <c r="C78" s="1229" t="s">
        <v>1080</v>
      </c>
      <c r="D78" s="439"/>
      <c r="E78" s="439"/>
      <c r="F78" s="439"/>
      <c r="G78" s="439"/>
      <c r="H78" s="439"/>
      <c r="I78" s="439"/>
      <c r="J78" s="1274"/>
      <c r="K78" s="419"/>
      <c r="L78" s="439"/>
      <c r="M78" s="439"/>
      <c r="N78" s="439"/>
      <c r="O78" s="439"/>
      <c r="P78" s="439"/>
      <c r="Q78" s="439"/>
      <c r="T78" s="419" t="str">
        <f>IFERROR(VLOOKUP(A78,Poeng!$B$8:$BU$255,Poeng!$E$1,FALSE),"")</f>
        <v/>
      </c>
    </row>
    <row r="79" spans="1:20" x14ac:dyDescent="0.25">
      <c r="A79" s="1275" t="s">
        <v>989</v>
      </c>
      <c r="B79" s="1267" t="str">
        <f>VLOOKUP(A79,Poeng!$B$8:$BU$255,Poeng!$C$1,FALSE)</f>
        <v>LE 01</v>
      </c>
      <c r="C79" s="1268" t="s">
        <v>1092</v>
      </c>
      <c r="D79" s="1269"/>
      <c r="E79" s="1269"/>
      <c r="F79" s="1269"/>
      <c r="G79" s="1269"/>
      <c r="H79" s="1269"/>
      <c r="I79" s="1269"/>
      <c r="J79" s="1270" t="str">
        <f>VLOOKUP(A79,Poeng!$B$10:$BT$257,Poeng!$BQ$1,FALSE)</f>
        <v>Yes</v>
      </c>
      <c r="K79" s="1271">
        <f>VLOOKUP(A79,Poeng!$B$10:$BT$257,Poeng!$AI$1,FALSE)</f>
        <v>0</v>
      </c>
      <c r="L79" s="1271">
        <f>VLOOKUP(A79,Poeng!$B$10:$BT$257,Poeng!$AJ$1,FALSE)</f>
        <v>0</v>
      </c>
      <c r="M79" s="1271">
        <f>VLOOKUP(A79,Poeng!$B$10:$BT$257,Poeng!$AK$1,FALSE)</f>
        <v>0</v>
      </c>
      <c r="N79" s="439"/>
      <c r="O79" s="439"/>
      <c r="P79" s="439"/>
      <c r="Q79" s="439"/>
      <c r="T79" s="419" t="str">
        <f>IFERROR(VLOOKUP(A79,Poeng!$B$8:$BU$255,Poeng!$E$1,FALSE),"")</f>
        <v>Minimum req: agricultural area / forest (EU taxonomy requirement: criterion 2)</v>
      </c>
    </row>
    <row r="80" spans="1:20" x14ac:dyDescent="0.25">
      <c r="A80" s="1275" t="s">
        <v>800</v>
      </c>
      <c r="B80" s="1267" t="str">
        <f>VLOOKUP(A80,Poeng!$B$8:$BU$255,Poeng!$C$1,FALSE)</f>
        <v>LE 02</v>
      </c>
      <c r="C80" s="1268" t="s">
        <v>1093</v>
      </c>
      <c r="D80" s="1269"/>
      <c r="E80" s="1269"/>
      <c r="F80" s="1269"/>
      <c r="G80" s="1269"/>
      <c r="H80" s="1269"/>
      <c r="I80" s="1269"/>
      <c r="J80" s="1270">
        <f>VLOOKUP(A80,Poeng!$B$10:$BT$257,Poeng!$BQ$1,FALSE)</f>
        <v>1</v>
      </c>
      <c r="K80" s="1271">
        <f>VLOOKUP(A80,Poeng!$B$10:$BT$257,Poeng!$AI$1,FALSE)</f>
        <v>0</v>
      </c>
      <c r="L80" s="1271">
        <f>VLOOKUP(A80,Poeng!$B$10:$BT$257,Poeng!$AJ$1,FALSE)</f>
        <v>0</v>
      </c>
      <c r="M80" s="1271">
        <f>VLOOKUP(A80,Poeng!$B$10:$BT$257,Poeng!$AK$1,FALSE)</f>
        <v>0</v>
      </c>
      <c r="N80" s="439"/>
      <c r="O80" s="439"/>
      <c r="P80" s="439"/>
      <c r="Q80" s="439"/>
      <c r="T80" s="419" t="str">
        <f>IFERROR(VLOOKUP(A80,Poeng!$B$8:$BU$255,Poeng!$E$1,FALSE),"")</f>
        <v>Survey and evaluation (EU taxonomy requirement: criterion 2-4)</v>
      </c>
    </row>
    <row r="81" spans="1:20" x14ac:dyDescent="0.25">
      <c r="A81" s="1275" t="s">
        <v>803</v>
      </c>
      <c r="B81" s="1267" t="str">
        <f>VLOOKUP(A81,Poeng!$B$8:$BU$255,Poeng!$C$1,FALSE)</f>
        <v>LE 03</v>
      </c>
      <c r="C81" s="1268" t="s">
        <v>1094</v>
      </c>
      <c r="D81" s="1269"/>
      <c r="E81" s="1269"/>
      <c r="F81" s="1269"/>
      <c r="G81" s="1269"/>
      <c r="H81" s="1269"/>
      <c r="I81" s="1269"/>
      <c r="J81" s="1270">
        <f>VLOOKUP(A81,Poeng!$B$10:$BT$257,Poeng!$BQ$1,FALSE)</f>
        <v>1</v>
      </c>
      <c r="K81" s="1271">
        <f>VLOOKUP(A81,Poeng!$B$10:$BT$257,Poeng!$AI$1,FALSE)</f>
        <v>0</v>
      </c>
      <c r="L81" s="1271">
        <f>VLOOKUP(A81,Poeng!$B$10:$BT$257,Poeng!$AJ$1,FALSE)</f>
        <v>0</v>
      </c>
      <c r="M81" s="1271">
        <f>VLOOKUP(A81,Poeng!$B$10:$BT$257,Poeng!$AK$1,FALSE)</f>
        <v>0</v>
      </c>
      <c r="N81" s="439"/>
      <c r="O81" s="439"/>
      <c r="P81" s="439"/>
      <c r="Q81" s="439"/>
      <c r="T81" s="419" t="str">
        <f>IFERROR(VLOOKUP(A81,Poeng!$B$8:$BU$255,Poeng!$E$1,FALSE),"")</f>
        <v>Planning and measures on site (EU taxonomy requirement: criterion 2-6)</v>
      </c>
    </row>
    <row r="82" spans="1:20" x14ac:dyDescent="0.25">
      <c r="A82" s="1275" t="s">
        <v>804</v>
      </c>
      <c r="B82" s="1267" t="str">
        <f>VLOOKUP(A82,Poeng!$B$8:$BU$255,Poeng!$C$1,FALSE)</f>
        <v>LE 03</v>
      </c>
      <c r="C82" s="1268" t="s">
        <v>1095</v>
      </c>
      <c r="D82" s="1269"/>
      <c r="E82" s="1269"/>
      <c r="F82" s="1269"/>
      <c r="G82" s="1269"/>
      <c r="H82" s="1269"/>
      <c r="I82" s="1269"/>
      <c r="J82" s="1270">
        <f>VLOOKUP(A82,Poeng!$B$10:$BT$257,Poeng!$BQ$1,FALSE)</f>
        <v>1</v>
      </c>
      <c r="K82" s="1271">
        <f>VLOOKUP(A82,Poeng!$B$10:$BT$257,Poeng!$AI$1,FALSE)</f>
        <v>0</v>
      </c>
      <c r="L82" s="1271">
        <f>VLOOKUP(A82,Poeng!$B$10:$BT$257,Poeng!$AJ$1,FALSE)</f>
        <v>0</v>
      </c>
      <c r="M82" s="1271">
        <f>VLOOKUP(A82,Poeng!$B$10:$BT$257,Poeng!$AK$1,FALSE)</f>
        <v>0</v>
      </c>
      <c r="N82" s="439"/>
      <c r="O82" s="439"/>
      <c r="P82" s="439"/>
      <c r="Q82" s="439"/>
      <c r="T82" s="419" t="str">
        <f>IFERROR(VLOOKUP(A82,Poeng!$B$8:$BU$255,Poeng!$E$1,FALSE),"")</f>
        <v>Managing negative impacts (EU taxonomy requirement: criterion 2-6)</v>
      </c>
    </row>
    <row r="83" spans="1:20" x14ac:dyDescent="0.25">
      <c r="A83" s="1275" t="s">
        <v>811</v>
      </c>
      <c r="B83" s="1267" t="str">
        <f>VLOOKUP(A83,Poeng!$B$8:$BU$255,Poeng!$C$1,FALSE)</f>
        <v>LE 06</v>
      </c>
      <c r="C83" s="1268" t="s">
        <v>1096</v>
      </c>
      <c r="D83" s="1269"/>
      <c r="E83" s="1269"/>
      <c r="F83" s="1269"/>
      <c r="G83" s="1269"/>
      <c r="H83" s="1269"/>
      <c r="I83" s="1269"/>
      <c r="J83" s="1270">
        <f>VLOOKUP(A83,Poeng!$B$10:$BT$257,Poeng!$BQ$1,FALSE)</f>
        <v>1</v>
      </c>
      <c r="K83" s="1271">
        <f>VLOOKUP(A83,Poeng!$B$10:$BT$257,Poeng!$AI$1,FALSE)</f>
        <v>0</v>
      </c>
      <c r="L83" s="1271">
        <f>VLOOKUP(A83,Poeng!$B$10:$BT$257,Poeng!$AJ$1,FALSE)</f>
        <v>0</v>
      </c>
      <c r="M83" s="1271">
        <f>VLOOKUP(A83,Poeng!$B$10:$BT$257,Poeng!$AK$1,FALSE)</f>
        <v>0</v>
      </c>
      <c r="N83" s="439"/>
      <c r="O83" s="439"/>
      <c r="P83" s="439"/>
      <c r="Q83" s="439"/>
      <c r="T83" s="419" t="str">
        <f>IFERROR(VLOOKUP(A83,Poeng!$B$8:$BU$255,Poeng!$E$1,FALSE),"")</f>
        <v>Risk assessment (EU taxonomy requirement: criterion 1-6)</v>
      </c>
    </row>
    <row r="84" spans="1:20" x14ac:dyDescent="0.25">
      <c r="A84" s="1275"/>
      <c r="B84" s="439"/>
      <c r="C84" s="439"/>
      <c r="D84" s="439"/>
      <c r="E84" s="439"/>
      <c r="F84" s="439"/>
      <c r="G84" s="439"/>
      <c r="H84" s="439"/>
      <c r="I84" s="439"/>
      <c r="J84" s="419"/>
      <c r="K84" s="439"/>
      <c r="L84" s="439"/>
      <c r="M84" s="439"/>
      <c r="N84" s="439"/>
      <c r="O84" s="439"/>
      <c r="P84" s="439"/>
      <c r="Q84" s="439"/>
      <c r="T84" s="419" t="str">
        <f>IFERROR(VLOOKUP(A84,Poeng!$B$8:$BU$255,Poeng!$E$1,FALSE),"")</f>
        <v/>
      </c>
    </row>
    <row r="85" spans="1:20" x14ac:dyDescent="0.25">
      <c r="A85" s="825"/>
      <c r="B85" s="439"/>
      <c r="C85" s="439"/>
      <c r="D85" s="439"/>
      <c r="E85" s="439"/>
      <c r="F85" s="439"/>
      <c r="G85" s="439"/>
      <c r="H85" s="439"/>
      <c r="I85" s="439"/>
      <c r="J85" s="439"/>
      <c r="K85" s="439"/>
      <c r="L85" s="439"/>
      <c r="M85" s="439"/>
      <c r="N85" s="439"/>
      <c r="O85" s="439"/>
      <c r="P85" s="439"/>
      <c r="Q85" s="439"/>
      <c r="T85" s="419" t="str">
        <f>IFERROR(VLOOKUP(A85,Poeng!$B$8:$BU$255,Poeng!$E$1,FALSE),"")</f>
        <v/>
      </c>
    </row>
    <row r="86" spans="1:20" x14ac:dyDescent="0.25">
      <c r="A86" s="825"/>
      <c r="B86" s="439"/>
      <c r="C86" s="439"/>
      <c r="D86" s="439"/>
      <c r="E86" s="439"/>
      <c r="F86" s="439"/>
      <c r="G86" s="439"/>
      <c r="H86" s="439"/>
      <c r="I86" s="439"/>
      <c r="J86" s="439"/>
      <c r="K86" s="439"/>
      <c r="L86" s="439"/>
      <c r="M86" s="439"/>
      <c r="N86" s="439"/>
      <c r="O86" s="439"/>
      <c r="P86" s="439"/>
      <c r="Q86" s="439"/>
    </row>
    <row r="87" spans="1:20" x14ac:dyDescent="0.25">
      <c r="A87" s="825"/>
      <c r="B87" s="439"/>
      <c r="C87" s="439"/>
      <c r="D87" s="439"/>
      <c r="E87" s="439"/>
      <c r="F87" s="439"/>
      <c r="G87" s="439"/>
      <c r="H87" s="439"/>
      <c r="I87" s="439"/>
      <c r="J87" s="439"/>
      <c r="K87" s="419"/>
      <c r="L87" s="439"/>
      <c r="M87" s="439"/>
      <c r="N87" s="439"/>
      <c r="O87" s="439"/>
      <c r="P87" s="439"/>
      <c r="Q87" s="439"/>
    </row>
    <row r="88" spans="1:20" x14ac:dyDescent="0.25">
      <c r="A88" s="825"/>
      <c r="B88" s="439"/>
      <c r="C88" s="439"/>
      <c r="D88" s="439"/>
      <c r="E88" s="439"/>
      <c r="F88" s="439"/>
      <c r="G88" s="439"/>
      <c r="H88" s="439"/>
      <c r="I88" s="439"/>
      <c r="J88" s="439"/>
      <c r="K88" s="439"/>
      <c r="L88" s="439"/>
      <c r="M88" s="439"/>
      <c r="N88" s="439"/>
      <c r="O88" s="439"/>
      <c r="P88" s="439"/>
      <c r="Q88" s="439"/>
    </row>
    <row r="89" spans="1:20" x14ac:dyDescent="0.25">
      <c r="A89" s="825"/>
      <c r="B89" s="439"/>
      <c r="C89" s="439"/>
      <c r="D89" s="439"/>
      <c r="E89" s="439"/>
      <c r="F89" s="439"/>
      <c r="G89" s="439"/>
      <c r="H89" s="439"/>
      <c r="I89" s="439"/>
      <c r="J89" s="439"/>
      <c r="K89" s="439"/>
      <c r="L89" s="439"/>
      <c r="M89" s="439"/>
      <c r="N89" s="439"/>
      <c r="O89" s="439"/>
      <c r="P89" s="439"/>
      <c r="Q89" s="439"/>
    </row>
    <row r="90" spans="1:20" x14ac:dyDescent="0.25">
      <c r="A90" s="825"/>
      <c r="B90" s="439"/>
      <c r="C90" s="439"/>
      <c r="D90" s="439"/>
      <c r="E90" s="439"/>
      <c r="F90" s="439"/>
      <c r="G90" s="439"/>
      <c r="H90" s="439"/>
      <c r="I90" s="439"/>
      <c r="J90" s="439"/>
      <c r="K90" s="439"/>
      <c r="L90" s="439"/>
      <c r="M90" s="439"/>
      <c r="N90" s="439"/>
      <c r="O90" s="439"/>
      <c r="P90" s="439"/>
      <c r="Q90" s="439"/>
    </row>
    <row r="91" spans="1:20" x14ac:dyDescent="0.25">
      <c r="A91" s="825"/>
      <c r="B91" s="439"/>
      <c r="C91" s="439"/>
      <c r="D91" s="439"/>
      <c r="E91" s="439"/>
      <c r="F91" s="439"/>
      <c r="G91" s="439"/>
      <c r="H91" s="439"/>
      <c r="I91" s="439"/>
      <c r="J91" s="439"/>
      <c r="K91" s="439"/>
      <c r="L91" s="439"/>
      <c r="M91" s="439"/>
      <c r="N91" s="439"/>
      <c r="O91" s="439"/>
      <c r="P91" s="439"/>
      <c r="Q91" s="439"/>
    </row>
    <row r="92" spans="1:20" x14ac:dyDescent="0.25">
      <c r="A92" s="825"/>
      <c r="B92" s="825"/>
      <c r="C92" s="825"/>
      <c r="D92" s="825"/>
      <c r="E92" s="825"/>
      <c r="F92" s="825"/>
      <c r="G92" s="825"/>
      <c r="H92" s="825"/>
      <c r="I92" s="825"/>
      <c r="J92" s="825"/>
      <c r="K92" s="825"/>
      <c r="L92" s="825"/>
      <c r="M92" s="825"/>
      <c r="N92" s="439"/>
      <c r="O92" s="439"/>
      <c r="P92" s="439"/>
      <c r="Q92" s="439"/>
    </row>
    <row r="93" spans="1:20" x14ac:dyDescent="0.25">
      <c r="A93" s="825"/>
      <c r="B93" s="825"/>
      <c r="C93" s="825"/>
      <c r="D93" s="825"/>
      <c r="E93" s="825"/>
      <c r="F93" s="825"/>
      <c r="G93" s="825"/>
      <c r="H93" s="825"/>
      <c r="I93" s="825"/>
      <c r="J93" s="825"/>
      <c r="K93" s="825"/>
      <c r="L93" s="825"/>
      <c r="M93" s="825"/>
      <c r="N93" s="439"/>
      <c r="O93" s="439"/>
      <c r="P93" s="439"/>
      <c r="Q93" s="439"/>
    </row>
    <row r="94" spans="1:20" x14ac:dyDescent="0.25">
      <c r="A94" s="825"/>
      <c r="B94" s="825"/>
      <c r="C94" s="825"/>
      <c r="D94" s="825"/>
      <c r="E94" s="825"/>
      <c r="F94" s="825"/>
      <c r="G94" s="825"/>
      <c r="H94" s="825"/>
      <c r="I94" s="825"/>
      <c r="J94" s="825"/>
      <c r="K94" s="825"/>
      <c r="L94" s="825"/>
      <c r="M94" s="825"/>
      <c r="N94" s="439"/>
      <c r="O94" s="439"/>
      <c r="P94" s="439"/>
      <c r="Q94" s="439"/>
    </row>
    <row r="95" spans="1:20" hidden="1" x14ac:dyDescent="0.25">
      <c r="A95" s="825" t="s">
        <v>790</v>
      </c>
      <c r="B95" s="825"/>
      <c r="C95" s="825"/>
      <c r="D95" s="825"/>
      <c r="E95" s="825"/>
      <c r="F95" s="825"/>
      <c r="G95" s="825"/>
      <c r="H95" s="825"/>
      <c r="I95" s="825"/>
      <c r="J95" s="825"/>
      <c r="K95" s="825"/>
      <c r="L95" s="825"/>
      <c r="M95" s="825"/>
      <c r="N95" s="439"/>
      <c r="O95" s="439"/>
      <c r="P95" s="439"/>
      <c r="Q95" s="439"/>
    </row>
    <row r="96" spans="1:20" hidden="1" x14ac:dyDescent="0.25">
      <c r="A96" s="825" t="s">
        <v>792</v>
      </c>
      <c r="B96" s="825"/>
      <c r="C96" s="825"/>
      <c r="D96" s="825"/>
      <c r="E96" s="825"/>
      <c r="F96" s="825"/>
      <c r="G96" s="825"/>
      <c r="H96" s="825"/>
      <c r="I96" s="825"/>
      <c r="J96" s="825"/>
      <c r="K96" s="825"/>
      <c r="L96" s="825"/>
      <c r="M96" s="825"/>
      <c r="N96" s="439"/>
      <c r="O96" s="439"/>
      <c r="P96" s="439"/>
      <c r="Q96" s="439"/>
    </row>
    <row r="97" spans="1:17" hidden="1" x14ac:dyDescent="0.25">
      <c r="A97" s="825"/>
      <c r="B97" s="825"/>
      <c r="C97" s="825"/>
      <c r="D97" s="825"/>
      <c r="E97" s="825"/>
      <c r="F97" s="825"/>
      <c r="G97" s="825"/>
      <c r="H97" s="825"/>
      <c r="I97" s="825"/>
      <c r="J97" s="825"/>
      <c r="K97" s="825"/>
      <c r="L97" s="825"/>
      <c r="M97" s="825"/>
      <c r="N97" s="439"/>
      <c r="O97" s="439"/>
      <c r="P97" s="439"/>
      <c r="Q97" s="439"/>
    </row>
    <row r="98" spans="1:17" hidden="1" x14ac:dyDescent="0.25">
      <c r="A98" s="825" t="s">
        <v>785</v>
      </c>
      <c r="B98" s="825"/>
      <c r="C98" s="825"/>
      <c r="D98" s="825"/>
      <c r="E98" s="825"/>
      <c r="F98" s="825"/>
      <c r="G98" s="825"/>
      <c r="H98" s="825"/>
      <c r="I98" s="825"/>
      <c r="J98" s="825"/>
      <c r="K98" s="825"/>
      <c r="L98" s="825"/>
      <c r="M98" s="825"/>
      <c r="N98" s="439"/>
      <c r="O98" s="439"/>
      <c r="P98" s="439"/>
      <c r="Q98" s="439"/>
    </row>
    <row r="99" spans="1:17" hidden="1" x14ac:dyDescent="0.25">
      <c r="A99" s="825" t="s">
        <v>786</v>
      </c>
      <c r="B99" s="825"/>
      <c r="C99" s="825"/>
      <c r="D99" s="825"/>
      <c r="E99" s="825"/>
      <c r="F99" s="825"/>
      <c r="G99" s="825"/>
      <c r="H99" s="825"/>
      <c r="I99" s="825"/>
      <c r="J99" s="825"/>
      <c r="K99" s="825"/>
      <c r="L99" s="825"/>
      <c r="M99" s="825"/>
      <c r="N99" s="439"/>
      <c r="O99" s="439"/>
      <c r="P99" s="439"/>
      <c r="Q99" s="439"/>
    </row>
    <row r="100" spans="1:17" hidden="1" x14ac:dyDescent="0.25">
      <c r="A100" s="825" t="s">
        <v>255</v>
      </c>
      <c r="B100" s="825"/>
      <c r="C100" s="825"/>
      <c r="D100" s="825"/>
      <c r="E100" s="825"/>
      <c r="F100" s="825"/>
      <c r="G100" s="825"/>
      <c r="H100" s="825"/>
      <c r="I100" s="825"/>
      <c r="J100" s="825"/>
      <c r="K100" s="825"/>
      <c r="L100" s="825"/>
      <c r="M100" s="825"/>
      <c r="N100" s="439"/>
      <c r="O100" s="439"/>
      <c r="P100" s="439"/>
      <c r="Q100" s="439"/>
    </row>
    <row r="101" spans="1:17" hidden="1" x14ac:dyDescent="0.25">
      <c r="A101" s="825"/>
      <c r="B101" s="825"/>
      <c r="C101" s="825"/>
      <c r="D101" s="825"/>
      <c r="E101" s="825"/>
      <c r="F101" s="825"/>
      <c r="G101" s="825"/>
      <c r="H101" s="825"/>
      <c r="I101" s="825"/>
      <c r="J101" s="825"/>
      <c r="K101" s="825"/>
      <c r="L101" s="825"/>
      <c r="M101" s="825"/>
      <c r="N101" s="439"/>
      <c r="O101" s="439"/>
      <c r="P101" s="439"/>
      <c r="Q101" s="439"/>
    </row>
    <row r="102" spans="1:17" x14ac:dyDescent="0.25">
      <c r="A102" s="825"/>
      <c r="B102" s="825"/>
      <c r="C102" s="825"/>
      <c r="D102" s="825"/>
      <c r="E102" s="825"/>
      <c r="F102" s="825"/>
      <c r="G102" s="825"/>
      <c r="H102" s="825"/>
      <c r="I102" s="825"/>
      <c r="J102" s="825"/>
      <c r="K102" s="825"/>
      <c r="L102" s="825"/>
      <c r="M102" s="825"/>
      <c r="N102" s="439"/>
      <c r="O102" s="439"/>
      <c r="P102" s="439"/>
      <c r="Q102" s="439"/>
    </row>
    <row r="103" spans="1:17" x14ac:dyDescent="0.25">
      <c r="A103" s="825"/>
      <c r="B103" s="825"/>
      <c r="C103" s="825"/>
      <c r="D103" s="825"/>
      <c r="E103" s="825"/>
      <c r="F103" s="825"/>
      <c r="G103" s="825"/>
      <c r="H103" s="825"/>
      <c r="I103" s="825"/>
      <c r="J103" s="825"/>
      <c r="K103" s="825"/>
      <c r="L103" s="825"/>
      <c r="M103" s="825"/>
      <c r="N103" s="439"/>
      <c r="O103" s="439"/>
      <c r="P103" s="439"/>
      <c r="Q103" s="439"/>
    </row>
    <row r="104" spans="1:17" x14ac:dyDescent="0.25">
      <c r="A104" s="825"/>
      <c r="B104" s="825"/>
      <c r="C104" s="825"/>
      <c r="D104" s="825"/>
      <c r="E104" s="825"/>
      <c r="F104" s="825"/>
      <c r="G104" s="825"/>
      <c r="H104" s="825"/>
      <c r="I104" s="825"/>
      <c r="J104" s="825"/>
      <c r="K104" s="825"/>
      <c r="L104" s="825"/>
      <c r="M104" s="825"/>
      <c r="N104" s="439"/>
      <c r="O104" s="439"/>
      <c r="P104" s="439"/>
      <c r="Q104" s="439"/>
    </row>
    <row r="105" spans="1:17" x14ac:dyDescent="0.25">
      <c r="A105" s="825"/>
      <c r="B105" s="825"/>
      <c r="C105" s="825"/>
      <c r="D105" s="825"/>
      <c r="E105" s="825"/>
      <c r="F105" s="825"/>
      <c r="G105" s="825"/>
      <c r="H105" s="825"/>
      <c r="I105" s="825"/>
      <c r="J105" s="825"/>
      <c r="K105" s="825"/>
      <c r="L105" s="825"/>
      <c r="M105" s="825"/>
      <c r="N105" s="439"/>
      <c r="O105" s="439"/>
      <c r="P105" s="439"/>
      <c r="Q105" s="439"/>
    </row>
    <row r="106" spans="1:17" x14ac:dyDescent="0.25">
      <c r="A106" s="825"/>
      <c r="B106" s="825"/>
      <c r="C106" s="825"/>
      <c r="D106" s="825"/>
      <c r="E106" s="825"/>
      <c r="F106" s="825"/>
      <c r="G106" s="825"/>
      <c r="H106" s="825"/>
      <c r="I106" s="825"/>
      <c r="J106" s="825"/>
      <c r="K106" s="825"/>
      <c r="L106" s="825"/>
      <c r="M106" s="825"/>
      <c r="N106" s="439"/>
      <c r="O106" s="439"/>
      <c r="P106" s="439"/>
      <c r="Q106" s="439"/>
    </row>
    <row r="107" spans="1:17" x14ac:dyDescent="0.25">
      <c r="A107" s="825"/>
      <c r="B107" s="825"/>
      <c r="C107" s="825"/>
      <c r="D107" s="825"/>
      <c r="E107" s="825"/>
      <c r="F107" s="825"/>
      <c r="G107" s="825"/>
      <c r="H107" s="825"/>
      <c r="I107" s="825"/>
      <c r="J107" s="825"/>
      <c r="K107" s="825"/>
      <c r="L107" s="825"/>
      <c r="M107" s="825"/>
      <c r="N107" s="439"/>
      <c r="O107" s="439"/>
      <c r="P107" s="439"/>
      <c r="Q107" s="439"/>
    </row>
    <row r="108" spans="1:17" x14ac:dyDescent="0.25">
      <c r="A108" s="825"/>
      <c r="B108" s="825"/>
      <c r="C108" s="825"/>
      <c r="D108" s="825"/>
      <c r="E108" s="825"/>
      <c r="F108" s="825"/>
      <c r="G108" s="825"/>
      <c r="H108" s="825"/>
      <c r="I108" s="825"/>
      <c r="J108" s="825"/>
      <c r="K108" s="825"/>
      <c r="L108" s="825"/>
      <c r="M108" s="825"/>
      <c r="N108" s="439"/>
      <c r="O108" s="439"/>
      <c r="P108" s="439"/>
      <c r="Q108" s="439"/>
    </row>
    <row r="109" spans="1:17" x14ac:dyDescent="0.25">
      <c r="A109" s="825"/>
      <c r="B109" s="825"/>
      <c r="C109" s="825"/>
      <c r="D109" s="825"/>
      <c r="E109" s="825"/>
      <c r="F109" s="825"/>
      <c r="G109" s="825"/>
      <c r="H109" s="825"/>
      <c r="I109" s="825"/>
      <c r="J109" s="825"/>
      <c r="K109" s="825"/>
      <c r="L109" s="825"/>
      <c r="M109" s="825"/>
      <c r="N109" s="439"/>
      <c r="O109" s="439"/>
      <c r="P109" s="439"/>
      <c r="Q109" s="439"/>
    </row>
    <row r="110" spans="1:17" x14ac:dyDescent="0.25">
      <c r="A110" s="825"/>
      <c r="B110" s="825"/>
      <c r="C110" s="825"/>
      <c r="D110" s="825"/>
      <c r="E110" s="825"/>
      <c r="F110" s="825"/>
      <c r="G110" s="825"/>
      <c r="H110" s="825"/>
      <c r="I110" s="825"/>
      <c r="J110" s="825"/>
      <c r="K110" s="825"/>
      <c r="L110" s="825"/>
      <c r="M110" s="825"/>
      <c r="N110" s="439"/>
      <c r="O110" s="439"/>
      <c r="P110" s="439"/>
      <c r="Q110" s="439"/>
    </row>
    <row r="111" spans="1:17" x14ac:dyDescent="0.25">
      <c r="A111" s="825"/>
      <c r="B111" s="825"/>
      <c r="C111" s="825"/>
      <c r="D111" s="825"/>
      <c r="E111" s="825"/>
      <c r="F111" s="825"/>
      <c r="G111" s="825"/>
      <c r="H111" s="825"/>
      <c r="I111" s="825"/>
      <c r="J111" s="825"/>
      <c r="K111" s="825"/>
      <c r="L111" s="825"/>
      <c r="M111" s="825"/>
      <c r="N111" s="439"/>
      <c r="O111" s="439"/>
      <c r="P111" s="439"/>
      <c r="Q111" s="439"/>
    </row>
    <row r="112" spans="1:17" x14ac:dyDescent="0.25">
      <c r="A112" s="825"/>
      <c r="B112" s="825"/>
      <c r="C112" s="825"/>
      <c r="D112" s="825"/>
      <c r="E112" s="825"/>
      <c r="F112" s="825"/>
      <c r="G112" s="825"/>
      <c r="H112" s="825"/>
      <c r="I112" s="825"/>
      <c r="J112" s="825"/>
      <c r="K112" s="825"/>
      <c r="L112" s="825"/>
      <c r="M112" s="825"/>
      <c r="N112" s="439"/>
      <c r="O112" s="439"/>
      <c r="P112" s="439"/>
      <c r="Q112" s="439"/>
    </row>
    <row r="113" spans="1:17" x14ac:dyDescent="0.25">
      <c r="A113" s="825"/>
      <c r="B113" s="825"/>
      <c r="C113" s="825"/>
      <c r="D113" s="825"/>
      <c r="E113" s="825"/>
      <c r="F113" s="825"/>
      <c r="G113" s="825"/>
      <c r="H113" s="825"/>
      <c r="I113" s="825"/>
      <c r="J113" s="825"/>
      <c r="K113" s="825"/>
      <c r="L113" s="825"/>
      <c r="M113" s="825"/>
      <c r="N113" s="439"/>
      <c r="O113" s="439"/>
      <c r="P113" s="439"/>
      <c r="Q113" s="439"/>
    </row>
    <row r="114" spans="1:17" x14ac:dyDescent="0.25">
      <c r="A114" s="825"/>
      <c r="B114" s="825"/>
      <c r="C114" s="825"/>
      <c r="D114" s="825"/>
      <c r="E114" s="825"/>
      <c r="F114" s="825"/>
      <c r="G114" s="825"/>
      <c r="H114" s="825"/>
      <c r="I114" s="825"/>
      <c r="J114" s="825"/>
      <c r="K114" s="825"/>
      <c r="L114" s="825"/>
      <c r="M114" s="825"/>
      <c r="N114" s="439"/>
      <c r="O114" s="439"/>
      <c r="P114" s="439"/>
      <c r="Q114" s="439"/>
    </row>
    <row r="115" spans="1:17" x14ac:dyDescent="0.25">
      <c r="A115" s="825"/>
      <c r="B115" s="825"/>
      <c r="C115" s="825"/>
      <c r="D115" s="825"/>
      <c r="E115" s="825"/>
      <c r="F115" s="825"/>
      <c r="G115" s="825"/>
      <c r="H115" s="825"/>
      <c r="I115" s="825"/>
      <c r="J115" s="825"/>
      <c r="K115" s="825"/>
      <c r="L115" s="825"/>
      <c r="M115" s="825"/>
      <c r="N115" s="439"/>
      <c r="O115" s="439"/>
      <c r="P115" s="439"/>
      <c r="Q115" s="439"/>
    </row>
    <row r="116" spans="1:17" x14ac:dyDescent="0.25">
      <c r="A116" s="1275"/>
      <c r="B116" s="439"/>
      <c r="C116" s="439"/>
      <c r="D116" s="439"/>
      <c r="E116" s="439"/>
      <c r="F116" s="439"/>
      <c r="G116" s="439"/>
      <c r="H116" s="439"/>
      <c r="I116" s="439"/>
      <c r="J116" s="439"/>
      <c r="K116" s="439"/>
      <c r="L116" s="439"/>
      <c r="M116" s="439"/>
      <c r="N116" s="439"/>
      <c r="O116" s="439"/>
      <c r="P116" s="439"/>
      <c r="Q116" s="439"/>
    </row>
    <row r="117" spans="1:17" x14ac:dyDescent="0.25">
      <c r="A117" s="1275"/>
      <c r="B117" s="439"/>
      <c r="C117" s="439"/>
      <c r="D117" s="439"/>
      <c r="E117" s="439"/>
      <c r="F117" s="439"/>
      <c r="G117" s="439"/>
      <c r="H117" s="439"/>
      <c r="I117" s="439"/>
      <c r="J117" s="439"/>
      <c r="K117" s="439"/>
      <c r="L117" s="439"/>
      <c r="M117" s="439"/>
      <c r="N117" s="439"/>
      <c r="O117" s="439"/>
      <c r="P117" s="439"/>
      <c r="Q117" s="439"/>
    </row>
    <row r="118" spans="1:17" x14ac:dyDescent="0.25">
      <c r="A118" s="1275"/>
      <c r="B118" s="439"/>
      <c r="C118" s="439"/>
      <c r="D118" s="439"/>
      <c r="E118" s="439"/>
      <c r="F118" s="439"/>
      <c r="G118" s="439"/>
      <c r="H118" s="439"/>
      <c r="I118" s="439"/>
      <c r="J118" s="439"/>
      <c r="K118" s="439"/>
      <c r="L118" s="439"/>
      <c r="M118" s="439"/>
      <c r="N118" s="439"/>
      <c r="O118" s="439"/>
      <c r="P118" s="439"/>
      <c r="Q118" s="439"/>
    </row>
    <row r="119" spans="1:17" x14ac:dyDescent="0.25">
      <c r="A119" s="1275"/>
      <c r="B119" s="439"/>
      <c r="C119" s="439"/>
      <c r="D119" s="439"/>
      <c r="E119" s="439"/>
      <c r="F119" s="439"/>
      <c r="G119" s="439"/>
      <c r="H119" s="439"/>
      <c r="I119" s="439"/>
      <c r="J119" s="439"/>
      <c r="K119" s="439"/>
      <c r="L119" s="439"/>
      <c r="M119" s="439"/>
      <c r="N119" s="439"/>
      <c r="O119" s="439"/>
      <c r="P119" s="439"/>
      <c r="Q119" s="439"/>
    </row>
    <row r="120" spans="1:17" x14ac:dyDescent="0.25">
      <c r="A120" s="1275"/>
      <c r="B120" s="439"/>
      <c r="C120" s="439"/>
      <c r="D120" s="439"/>
      <c r="E120" s="439"/>
      <c r="F120" s="439"/>
      <c r="G120" s="439"/>
      <c r="H120" s="439"/>
      <c r="I120" s="439"/>
      <c r="J120" s="439"/>
      <c r="K120" s="439"/>
      <c r="L120" s="439"/>
      <c r="M120" s="439"/>
      <c r="N120" s="439"/>
      <c r="O120" s="439"/>
      <c r="P120" s="439"/>
      <c r="Q120" s="439"/>
    </row>
    <row r="121" spans="1:17" x14ac:dyDescent="0.25">
      <c r="A121" s="1275"/>
      <c r="B121" s="439"/>
      <c r="C121" s="439"/>
      <c r="D121" s="439"/>
      <c r="E121" s="439"/>
      <c r="F121" s="439"/>
      <c r="G121" s="439"/>
      <c r="H121" s="439"/>
      <c r="I121" s="439"/>
      <c r="J121" s="439"/>
      <c r="K121" s="439"/>
      <c r="L121" s="439"/>
      <c r="M121" s="439"/>
      <c r="N121" s="439"/>
      <c r="O121" s="439"/>
      <c r="P121" s="439"/>
      <c r="Q121" s="439"/>
    </row>
    <row r="122" spans="1:17" x14ac:dyDescent="0.25">
      <c r="A122" s="1275"/>
      <c r="B122" s="439"/>
      <c r="C122" s="439"/>
      <c r="D122" s="439"/>
      <c r="E122" s="439"/>
      <c r="F122" s="439"/>
      <c r="G122" s="439"/>
      <c r="H122" s="439"/>
      <c r="I122" s="439"/>
      <c r="J122" s="439"/>
      <c r="K122" s="439"/>
      <c r="L122" s="439"/>
      <c r="M122" s="439"/>
      <c r="N122" s="439"/>
      <c r="O122" s="439"/>
      <c r="P122" s="439"/>
      <c r="Q122" s="439"/>
    </row>
    <row r="123" spans="1:17" x14ac:dyDescent="0.25">
      <c r="A123" s="1275"/>
      <c r="B123" s="439"/>
      <c r="C123" s="439"/>
      <c r="D123" s="439"/>
      <c r="E123" s="439"/>
      <c r="F123" s="439"/>
      <c r="G123" s="439"/>
      <c r="H123" s="439"/>
      <c r="I123" s="439"/>
      <c r="J123" s="439"/>
      <c r="K123" s="439"/>
      <c r="L123" s="439"/>
      <c r="M123" s="439"/>
      <c r="N123" s="439"/>
      <c r="O123" s="439"/>
      <c r="P123" s="439"/>
      <c r="Q123" s="439"/>
    </row>
    <row r="124" spans="1:17" x14ac:dyDescent="0.25">
      <c r="A124" s="1275"/>
      <c r="B124" s="439"/>
      <c r="C124" s="439"/>
      <c r="D124" s="439"/>
      <c r="E124" s="439"/>
      <c r="F124" s="439"/>
      <c r="G124" s="439"/>
      <c r="H124" s="439"/>
      <c r="I124" s="439"/>
      <c r="J124" s="439"/>
      <c r="K124" s="439"/>
      <c r="L124" s="439"/>
      <c r="M124" s="439"/>
      <c r="N124" s="439"/>
      <c r="O124" s="439"/>
      <c r="P124" s="439"/>
      <c r="Q124" s="439"/>
    </row>
    <row r="125" spans="1:17" x14ac:dyDescent="0.25">
      <c r="A125" s="1275"/>
      <c r="B125" s="439"/>
      <c r="C125" s="439"/>
      <c r="D125" s="439"/>
      <c r="E125" s="439"/>
      <c r="F125" s="439"/>
      <c r="G125" s="439"/>
      <c r="H125" s="439"/>
      <c r="I125" s="439"/>
      <c r="J125" s="439"/>
      <c r="K125" s="439"/>
      <c r="L125" s="439"/>
      <c r="M125" s="439"/>
      <c r="N125" s="439"/>
      <c r="O125" s="439"/>
      <c r="P125" s="439"/>
      <c r="Q125" s="439"/>
    </row>
    <row r="126" spans="1:17" x14ac:dyDescent="0.25">
      <c r="A126" s="1275"/>
      <c r="B126" s="439"/>
      <c r="C126" s="439"/>
      <c r="D126" s="439"/>
      <c r="E126" s="439"/>
      <c r="F126" s="439"/>
      <c r="G126" s="439"/>
      <c r="H126" s="439"/>
      <c r="I126" s="439"/>
      <c r="J126" s="439"/>
      <c r="K126" s="439"/>
      <c r="L126" s="439"/>
      <c r="M126" s="439"/>
      <c r="N126" s="439"/>
      <c r="O126" s="439"/>
      <c r="P126" s="439"/>
      <c r="Q126" s="439"/>
    </row>
    <row r="127" spans="1:17" x14ac:dyDescent="0.25">
      <c r="A127" s="1275"/>
      <c r="B127" s="439"/>
      <c r="C127" s="439"/>
      <c r="D127" s="439"/>
      <c r="E127" s="439"/>
      <c r="F127" s="439"/>
      <c r="G127" s="439"/>
      <c r="H127" s="439"/>
      <c r="I127" s="439"/>
      <c r="J127" s="439"/>
      <c r="K127" s="439"/>
      <c r="L127" s="439"/>
      <c r="M127" s="439"/>
      <c r="N127" s="439"/>
      <c r="O127" s="439"/>
      <c r="P127" s="439"/>
      <c r="Q127" s="439"/>
    </row>
    <row r="128" spans="1:17" x14ac:dyDescent="0.25">
      <c r="A128" s="1275"/>
      <c r="B128" s="439"/>
      <c r="C128" s="439"/>
      <c r="D128" s="439"/>
      <c r="E128" s="439"/>
      <c r="F128" s="439"/>
      <c r="G128" s="439"/>
      <c r="H128" s="439"/>
      <c r="I128" s="439"/>
      <c r="J128" s="439"/>
      <c r="K128" s="439"/>
      <c r="L128" s="439"/>
      <c r="M128" s="439"/>
      <c r="N128" s="439"/>
      <c r="O128" s="439"/>
      <c r="P128" s="439"/>
      <c r="Q128" s="439"/>
    </row>
    <row r="129" spans="1:17" x14ac:dyDescent="0.25">
      <c r="A129" s="1275"/>
      <c r="B129" s="439"/>
      <c r="C129" s="439"/>
      <c r="D129" s="439"/>
      <c r="E129" s="439"/>
      <c r="F129" s="439"/>
      <c r="G129" s="439"/>
      <c r="H129" s="439"/>
      <c r="I129" s="439"/>
      <c r="J129" s="439"/>
      <c r="K129" s="439"/>
      <c r="L129" s="439"/>
      <c r="M129" s="439"/>
      <c r="N129" s="439"/>
      <c r="O129" s="439"/>
      <c r="P129" s="439"/>
      <c r="Q129" s="439"/>
    </row>
    <row r="130" spans="1:17" x14ac:dyDescent="0.25">
      <c r="A130" s="1275"/>
      <c r="B130" s="439"/>
      <c r="C130" s="439"/>
      <c r="D130" s="439"/>
      <c r="E130" s="439"/>
      <c r="F130" s="439"/>
      <c r="G130" s="439"/>
      <c r="H130" s="439"/>
      <c r="I130" s="439"/>
      <c r="J130" s="439"/>
      <c r="K130" s="439"/>
      <c r="L130" s="439"/>
      <c r="M130" s="439"/>
      <c r="N130" s="439"/>
      <c r="O130" s="439"/>
      <c r="P130" s="439"/>
      <c r="Q130" s="439"/>
    </row>
    <row r="131" spans="1:17" x14ac:dyDescent="0.25">
      <c r="A131" s="1275"/>
      <c r="B131" s="439"/>
      <c r="C131" s="439"/>
      <c r="D131" s="439"/>
      <c r="E131" s="439"/>
      <c r="F131" s="439"/>
      <c r="G131" s="439"/>
      <c r="H131" s="439"/>
      <c r="I131" s="439"/>
      <c r="J131" s="439"/>
      <c r="K131" s="439"/>
      <c r="L131" s="439"/>
      <c r="M131" s="439"/>
      <c r="N131" s="439"/>
      <c r="O131" s="439"/>
      <c r="P131" s="439"/>
      <c r="Q131" s="439"/>
    </row>
    <row r="132" spans="1:17" x14ac:dyDescent="0.25">
      <c r="A132" s="1275"/>
      <c r="B132" s="439"/>
      <c r="C132" s="439"/>
      <c r="D132" s="439"/>
      <c r="E132" s="439"/>
      <c r="F132" s="439"/>
      <c r="G132" s="439"/>
      <c r="H132" s="439"/>
      <c r="I132" s="439"/>
      <c r="J132" s="439"/>
      <c r="K132" s="439"/>
      <c r="L132" s="439"/>
      <c r="M132" s="439"/>
      <c r="N132" s="439"/>
      <c r="O132" s="439"/>
      <c r="P132" s="439"/>
      <c r="Q132" s="439"/>
    </row>
    <row r="133" spans="1:17" x14ac:dyDescent="0.25">
      <c r="A133" s="1275"/>
      <c r="B133" s="439"/>
      <c r="C133" s="439"/>
      <c r="D133" s="439"/>
      <c r="E133" s="439"/>
      <c r="F133" s="439"/>
      <c r="G133" s="439"/>
      <c r="H133" s="439"/>
      <c r="I133" s="439"/>
      <c r="J133" s="439"/>
      <c r="K133" s="439"/>
      <c r="L133" s="439"/>
      <c r="M133" s="439"/>
      <c r="N133" s="439"/>
      <c r="O133" s="439"/>
      <c r="P133" s="439"/>
      <c r="Q133" s="439"/>
    </row>
    <row r="134" spans="1:17" x14ac:dyDescent="0.25">
      <c r="A134" s="1275"/>
      <c r="B134" s="439"/>
      <c r="C134" s="439"/>
      <c r="D134" s="439"/>
      <c r="E134" s="439"/>
      <c r="F134" s="439"/>
      <c r="G134" s="439"/>
      <c r="H134" s="439"/>
      <c r="I134" s="439"/>
      <c r="J134" s="439"/>
      <c r="K134" s="439"/>
      <c r="L134" s="439"/>
      <c r="M134" s="439"/>
      <c r="N134" s="439"/>
      <c r="O134" s="439"/>
      <c r="P134" s="439"/>
      <c r="Q134" s="439"/>
    </row>
    <row r="135" spans="1:17" x14ac:dyDescent="0.25">
      <c r="A135" s="1275"/>
      <c r="B135" s="439"/>
      <c r="C135" s="439"/>
      <c r="D135" s="439"/>
      <c r="E135" s="439"/>
      <c r="F135" s="439"/>
      <c r="G135" s="439"/>
      <c r="H135" s="439"/>
      <c r="I135" s="439"/>
      <c r="J135" s="439"/>
      <c r="K135" s="439"/>
      <c r="L135" s="439"/>
      <c r="M135" s="439"/>
      <c r="N135" s="439"/>
      <c r="O135" s="439"/>
      <c r="P135" s="439"/>
      <c r="Q135" s="439"/>
    </row>
    <row r="136" spans="1:17" x14ac:dyDescent="0.25">
      <c r="A136" s="1275"/>
      <c r="B136" s="439"/>
      <c r="C136" s="439"/>
      <c r="D136" s="439"/>
      <c r="E136" s="439"/>
      <c r="F136" s="439"/>
      <c r="G136" s="439"/>
      <c r="H136" s="439"/>
      <c r="I136" s="439"/>
      <c r="J136" s="439"/>
      <c r="K136" s="439"/>
      <c r="L136" s="439"/>
      <c r="M136" s="439"/>
      <c r="N136" s="439"/>
      <c r="O136" s="439"/>
      <c r="P136" s="439"/>
      <c r="Q136" s="439"/>
    </row>
    <row r="137" spans="1:17" x14ac:dyDescent="0.25">
      <c r="A137" s="1275"/>
      <c r="B137" s="439"/>
      <c r="C137" s="439"/>
      <c r="D137" s="439"/>
      <c r="E137" s="439"/>
      <c r="F137" s="439"/>
      <c r="G137" s="439"/>
      <c r="H137" s="439"/>
      <c r="I137" s="439"/>
      <c r="J137" s="439"/>
      <c r="K137" s="439"/>
      <c r="L137" s="439"/>
      <c r="M137" s="439"/>
      <c r="N137" s="439"/>
      <c r="O137" s="439"/>
      <c r="P137" s="439"/>
      <c r="Q137" s="439"/>
    </row>
    <row r="138" spans="1:17" x14ac:dyDescent="0.25">
      <c r="A138" s="1275"/>
      <c r="B138" s="439"/>
      <c r="C138" s="439"/>
      <c r="D138" s="439"/>
      <c r="E138" s="439"/>
      <c r="F138" s="439"/>
      <c r="G138" s="439"/>
      <c r="H138" s="439"/>
      <c r="I138" s="439"/>
      <c r="J138" s="439"/>
      <c r="K138" s="439"/>
      <c r="L138" s="439"/>
      <c r="M138" s="439"/>
      <c r="N138" s="439"/>
      <c r="O138" s="439"/>
      <c r="P138" s="439"/>
      <c r="Q138" s="439"/>
    </row>
    <row r="139" spans="1:17" x14ac:dyDescent="0.25">
      <c r="A139" s="1275"/>
      <c r="B139" s="439"/>
      <c r="C139" s="439"/>
      <c r="D139" s="439"/>
      <c r="E139" s="439"/>
      <c r="F139" s="439"/>
      <c r="G139" s="439"/>
      <c r="H139" s="439"/>
      <c r="I139" s="439"/>
      <c r="J139" s="439"/>
      <c r="K139" s="439"/>
      <c r="L139" s="439"/>
      <c r="M139" s="439"/>
      <c r="N139" s="439"/>
      <c r="O139" s="439"/>
      <c r="P139" s="439"/>
      <c r="Q139" s="439"/>
    </row>
    <row r="140" spans="1:17" x14ac:dyDescent="0.25">
      <c r="A140" s="1275"/>
      <c r="B140" s="439"/>
      <c r="C140" s="439"/>
      <c r="D140" s="439"/>
      <c r="E140" s="439"/>
      <c r="F140" s="439"/>
      <c r="G140" s="439"/>
      <c r="H140" s="439"/>
      <c r="I140" s="439"/>
      <c r="J140" s="439"/>
      <c r="K140" s="439"/>
      <c r="L140" s="439"/>
      <c r="M140" s="439"/>
      <c r="N140" s="439"/>
      <c r="O140" s="439"/>
      <c r="P140" s="439"/>
      <c r="Q140" s="439"/>
    </row>
    <row r="141" spans="1:17" x14ac:dyDescent="0.25">
      <c r="A141" s="1275"/>
      <c r="B141" s="439"/>
      <c r="C141" s="439"/>
      <c r="D141" s="439"/>
      <c r="E141" s="439"/>
      <c r="F141" s="439"/>
      <c r="G141" s="439"/>
      <c r="H141" s="439"/>
      <c r="I141" s="439"/>
      <c r="J141" s="439"/>
      <c r="K141" s="439"/>
      <c r="L141" s="439"/>
      <c r="M141" s="439"/>
      <c r="N141" s="439"/>
      <c r="O141" s="439"/>
      <c r="P141" s="439"/>
      <c r="Q141" s="439"/>
    </row>
    <row r="142" spans="1:17" x14ac:dyDescent="0.25">
      <c r="A142" s="1275"/>
      <c r="B142" s="439"/>
      <c r="C142" s="439"/>
      <c r="D142" s="439"/>
      <c r="E142" s="439"/>
      <c r="F142" s="439"/>
      <c r="G142" s="439"/>
      <c r="H142" s="439"/>
      <c r="I142" s="439"/>
      <c r="J142" s="439"/>
      <c r="K142" s="439"/>
      <c r="L142" s="439"/>
      <c r="M142" s="439"/>
      <c r="N142" s="439"/>
      <c r="O142" s="439"/>
      <c r="P142" s="439"/>
      <c r="Q142" s="439"/>
    </row>
    <row r="143" spans="1:17" x14ac:dyDescent="0.25">
      <c r="A143" s="1275"/>
      <c r="B143" s="439"/>
      <c r="C143" s="439"/>
      <c r="D143" s="439"/>
      <c r="E143" s="439"/>
      <c r="F143" s="439"/>
      <c r="G143" s="439"/>
      <c r="H143" s="439"/>
      <c r="I143" s="439"/>
      <c r="J143" s="439"/>
      <c r="K143" s="439"/>
      <c r="L143" s="439"/>
      <c r="M143" s="439"/>
      <c r="N143" s="439"/>
      <c r="O143" s="439"/>
      <c r="P143" s="439"/>
      <c r="Q143" s="439"/>
    </row>
    <row r="144" spans="1:17" x14ac:dyDescent="0.25">
      <c r="A144" s="1275"/>
      <c r="B144" s="439"/>
      <c r="C144" s="439"/>
      <c r="D144" s="439"/>
      <c r="E144" s="439"/>
      <c r="F144" s="439"/>
      <c r="G144" s="439"/>
      <c r="H144" s="439"/>
      <c r="I144" s="439"/>
      <c r="J144" s="439"/>
      <c r="K144" s="439"/>
      <c r="L144" s="439"/>
      <c r="M144" s="439"/>
      <c r="N144" s="439"/>
      <c r="O144" s="439"/>
      <c r="P144" s="439"/>
      <c r="Q144" s="439"/>
    </row>
    <row r="145" spans="1:17" x14ac:dyDescent="0.25">
      <c r="A145" s="1275"/>
      <c r="B145" s="439"/>
      <c r="C145" s="439"/>
      <c r="D145" s="439"/>
      <c r="E145" s="439"/>
      <c r="F145" s="439"/>
      <c r="G145" s="439"/>
      <c r="H145" s="439"/>
      <c r="I145" s="439"/>
      <c r="J145" s="439"/>
      <c r="K145" s="439"/>
      <c r="L145" s="439"/>
      <c r="M145" s="439"/>
      <c r="N145" s="439"/>
      <c r="O145" s="439"/>
      <c r="P145" s="439"/>
      <c r="Q145" s="439"/>
    </row>
    <row r="146" spans="1:17" x14ac:dyDescent="0.25">
      <c r="A146" s="1275"/>
      <c r="B146" s="439"/>
      <c r="C146" s="439"/>
      <c r="D146" s="439"/>
      <c r="E146" s="439"/>
      <c r="F146" s="439"/>
      <c r="G146" s="439"/>
      <c r="H146" s="439"/>
      <c r="I146" s="439"/>
      <c r="J146" s="439"/>
      <c r="K146" s="439"/>
      <c r="L146" s="439"/>
      <c r="M146" s="439"/>
      <c r="N146" s="439"/>
      <c r="O146" s="439"/>
      <c r="P146" s="439"/>
      <c r="Q146" s="439"/>
    </row>
    <row r="147" spans="1:17" x14ac:dyDescent="0.25">
      <c r="A147" s="1275"/>
      <c r="B147" s="439"/>
      <c r="C147" s="439"/>
      <c r="D147" s="439"/>
      <c r="E147" s="439"/>
      <c r="F147" s="439"/>
      <c r="G147" s="439"/>
      <c r="H147" s="439"/>
      <c r="I147" s="439"/>
      <c r="J147" s="439"/>
      <c r="K147" s="439"/>
      <c r="L147" s="439"/>
      <c r="M147" s="439"/>
      <c r="N147" s="439"/>
      <c r="O147" s="439"/>
      <c r="P147" s="439"/>
      <c r="Q147" s="439"/>
    </row>
    <row r="148" spans="1:17" x14ac:dyDescent="0.25">
      <c r="A148" s="1275"/>
      <c r="B148" s="439"/>
      <c r="C148" s="439"/>
      <c r="D148" s="439"/>
      <c r="E148" s="439"/>
      <c r="F148" s="439"/>
      <c r="G148" s="439"/>
      <c r="H148" s="439"/>
      <c r="I148" s="439"/>
      <c r="J148" s="439"/>
      <c r="K148" s="439"/>
      <c r="L148" s="439"/>
      <c r="M148" s="439"/>
      <c r="N148" s="439"/>
      <c r="O148" s="439"/>
      <c r="P148" s="439"/>
      <c r="Q148" s="439"/>
    </row>
    <row r="149" spans="1:17" x14ac:dyDescent="0.25">
      <c r="A149" s="1275"/>
      <c r="B149" s="439"/>
      <c r="C149" s="439"/>
      <c r="D149" s="439"/>
      <c r="E149" s="439"/>
      <c r="F149" s="439"/>
      <c r="G149" s="439"/>
      <c r="H149" s="439"/>
      <c r="I149" s="439"/>
      <c r="J149" s="439"/>
      <c r="K149" s="439"/>
      <c r="L149" s="439"/>
      <c r="M149" s="439"/>
      <c r="N149" s="439"/>
      <c r="O149" s="439"/>
      <c r="P149" s="439"/>
      <c r="Q149" s="439"/>
    </row>
    <row r="150" spans="1:17" x14ac:dyDescent="0.25">
      <c r="A150" s="1275"/>
      <c r="B150" s="439"/>
      <c r="C150" s="439"/>
      <c r="D150" s="439"/>
      <c r="E150" s="439"/>
      <c r="F150" s="439"/>
      <c r="G150" s="439"/>
      <c r="H150" s="439"/>
      <c r="I150" s="439"/>
      <c r="J150" s="439"/>
      <c r="K150" s="439"/>
      <c r="L150" s="439"/>
      <c r="M150" s="439"/>
      <c r="N150" s="439"/>
      <c r="O150" s="439"/>
      <c r="P150" s="439"/>
      <c r="Q150" s="439"/>
    </row>
    <row r="151" spans="1:17" x14ac:dyDescent="0.25">
      <c r="A151" s="1275"/>
      <c r="B151" s="439"/>
      <c r="C151" s="439"/>
      <c r="D151" s="439"/>
      <c r="E151" s="439"/>
      <c r="F151" s="439"/>
      <c r="G151" s="439"/>
      <c r="H151" s="439"/>
      <c r="I151" s="439"/>
      <c r="J151" s="439"/>
      <c r="K151" s="439"/>
      <c r="L151" s="439"/>
      <c r="M151" s="439"/>
      <c r="N151" s="439"/>
      <c r="O151" s="439"/>
      <c r="P151" s="439"/>
      <c r="Q151" s="439"/>
    </row>
    <row r="152" spans="1:17" x14ac:dyDescent="0.25">
      <c r="A152" s="1275"/>
      <c r="B152" s="439"/>
      <c r="C152" s="439"/>
      <c r="D152" s="439"/>
      <c r="E152" s="439"/>
      <c r="F152" s="439"/>
      <c r="G152" s="439"/>
      <c r="H152" s="439"/>
      <c r="I152" s="439"/>
      <c r="J152" s="439"/>
      <c r="K152" s="439"/>
      <c r="L152" s="439"/>
      <c r="M152" s="439"/>
      <c r="N152" s="439"/>
      <c r="O152" s="439"/>
      <c r="P152" s="439"/>
      <c r="Q152" s="439"/>
    </row>
    <row r="153" spans="1:17" x14ac:dyDescent="0.25">
      <c r="A153" s="1275"/>
      <c r="B153" s="439"/>
      <c r="C153" s="439"/>
      <c r="D153" s="439"/>
      <c r="E153" s="439"/>
      <c r="F153" s="439"/>
      <c r="G153" s="439"/>
      <c r="H153" s="439"/>
      <c r="I153" s="439"/>
      <c r="J153" s="439"/>
      <c r="K153" s="439"/>
      <c r="L153" s="439"/>
      <c r="M153" s="439"/>
      <c r="N153" s="439"/>
      <c r="O153" s="439"/>
      <c r="P153" s="439"/>
      <c r="Q153" s="439"/>
    </row>
    <row r="154" spans="1:17" x14ac:dyDescent="0.25">
      <c r="A154" s="1275"/>
      <c r="B154" s="439"/>
      <c r="C154" s="439"/>
      <c r="D154" s="439"/>
      <c r="E154" s="439"/>
      <c r="F154" s="439"/>
      <c r="G154" s="439"/>
      <c r="H154" s="439"/>
      <c r="I154" s="439"/>
      <c r="J154" s="439"/>
      <c r="K154" s="439"/>
      <c r="L154" s="439"/>
      <c r="M154" s="439"/>
      <c r="N154" s="439"/>
      <c r="O154" s="439"/>
      <c r="P154" s="439"/>
      <c r="Q154" s="439"/>
    </row>
    <row r="155" spans="1:17" x14ac:dyDescent="0.25">
      <c r="A155" s="1275"/>
      <c r="B155" s="439"/>
      <c r="C155" s="439"/>
      <c r="D155" s="439"/>
      <c r="E155" s="439"/>
      <c r="F155" s="439"/>
      <c r="G155" s="439"/>
      <c r="H155" s="439"/>
      <c r="I155" s="439"/>
      <c r="J155" s="439"/>
      <c r="K155" s="439"/>
      <c r="L155" s="439"/>
      <c r="M155" s="439"/>
      <c r="N155" s="439"/>
      <c r="O155" s="439"/>
      <c r="P155" s="439"/>
      <c r="Q155" s="439"/>
    </row>
    <row r="156" spans="1:17" x14ac:dyDescent="0.25">
      <c r="A156" s="1240"/>
    </row>
    <row r="157" spans="1:17" x14ac:dyDescent="0.25">
      <c r="A157" s="1240"/>
    </row>
    <row r="158" spans="1:17" x14ac:dyDescent="0.25">
      <c r="A158" s="1240"/>
    </row>
    <row r="159" spans="1:17" x14ac:dyDescent="0.25">
      <c r="A159" s="1240"/>
    </row>
    <row r="160" spans="1:17" x14ac:dyDescent="0.25">
      <c r="A160" s="1240"/>
    </row>
    <row r="161" spans="1:1" x14ac:dyDescent="0.25">
      <c r="A161" s="1240"/>
    </row>
    <row r="162" spans="1:1" x14ac:dyDescent="0.25">
      <c r="A162" s="1240"/>
    </row>
    <row r="163" spans="1:1" x14ac:dyDescent="0.25">
      <c r="A163" s="1240"/>
    </row>
    <row r="164" spans="1:1" x14ac:dyDescent="0.25">
      <c r="A164" s="1240"/>
    </row>
    <row r="165" spans="1:1" x14ac:dyDescent="0.25">
      <c r="A165" s="1240"/>
    </row>
    <row r="166" spans="1:1" x14ac:dyDescent="0.25">
      <c r="A166" s="1240"/>
    </row>
    <row r="167" spans="1:1" x14ac:dyDescent="0.25">
      <c r="A167" s="1240"/>
    </row>
    <row r="168" spans="1:1" x14ac:dyDescent="0.25">
      <c r="A168" s="1240"/>
    </row>
    <row r="169" spans="1:1" x14ac:dyDescent="0.25">
      <c r="A169" s="1240"/>
    </row>
    <row r="170" spans="1:1" x14ac:dyDescent="0.25">
      <c r="A170" s="1240"/>
    </row>
    <row r="171" spans="1:1" x14ac:dyDescent="0.25">
      <c r="A171" s="1240"/>
    </row>
    <row r="172" spans="1:1" x14ac:dyDescent="0.25">
      <c r="A172" s="1240"/>
    </row>
    <row r="173" spans="1:1" x14ac:dyDescent="0.25">
      <c r="A173" s="1240"/>
    </row>
    <row r="174" spans="1:1" x14ac:dyDescent="0.25">
      <c r="A174" s="1240"/>
    </row>
    <row r="175" spans="1:1" x14ac:dyDescent="0.25">
      <c r="A175" s="1240"/>
    </row>
    <row r="176" spans="1:1" x14ac:dyDescent="0.25">
      <c r="A176" s="1240"/>
    </row>
    <row r="177" spans="1:1" x14ac:dyDescent="0.25">
      <c r="A177" s="1240"/>
    </row>
    <row r="178" spans="1:1" x14ac:dyDescent="0.25">
      <c r="A178" s="1240"/>
    </row>
    <row r="179" spans="1:1" x14ac:dyDescent="0.25">
      <c r="A179" s="1240"/>
    </row>
    <row r="180" spans="1:1" x14ac:dyDescent="0.25">
      <c r="A180" s="1240"/>
    </row>
    <row r="181" spans="1:1" x14ac:dyDescent="0.25">
      <c r="A181" s="1240"/>
    </row>
    <row r="182" spans="1:1" x14ac:dyDescent="0.25">
      <c r="A182" s="1240"/>
    </row>
    <row r="183" spans="1:1" x14ac:dyDescent="0.25">
      <c r="A183" s="1240"/>
    </row>
    <row r="184" spans="1:1" x14ac:dyDescent="0.25">
      <c r="A184" s="1240"/>
    </row>
    <row r="185" spans="1:1" x14ac:dyDescent="0.25">
      <c r="A185" s="1240"/>
    </row>
    <row r="186" spans="1:1" x14ac:dyDescent="0.25">
      <c r="A186" s="1240"/>
    </row>
    <row r="187" spans="1:1" x14ac:dyDescent="0.25">
      <c r="A187" s="1240"/>
    </row>
    <row r="188" spans="1:1" x14ac:dyDescent="0.25">
      <c r="A188" s="1240"/>
    </row>
    <row r="189" spans="1:1" x14ac:dyDescent="0.25">
      <c r="A189" s="1240"/>
    </row>
    <row r="190" spans="1:1" x14ac:dyDescent="0.25">
      <c r="A190" s="1240"/>
    </row>
    <row r="191" spans="1:1" x14ac:dyDescent="0.25">
      <c r="A191" s="1240"/>
    </row>
    <row r="192" spans="1:1" x14ac:dyDescent="0.25">
      <c r="A192" s="1240"/>
    </row>
    <row r="193" spans="1:1" x14ac:dyDescent="0.25">
      <c r="A193" s="1240"/>
    </row>
    <row r="194" spans="1:1" x14ac:dyDescent="0.25">
      <c r="A194" s="1240"/>
    </row>
    <row r="195" spans="1:1" x14ac:dyDescent="0.25">
      <c r="A195" s="1240"/>
    </row>
    <row r="196" spans="1:1" x14ac:dyDescent="0.25">
      <c r="A196" s="1240"/>
    </row>
    <row r="197" spans="1:1" x14ac:dyDescent="0.25">
      <c r="A197" s="1240"/>
    </row>
    <row r="198" spans="1:1" x14ac:dyDescent="0.25">
      <c r="A198" s="1240"/>
    </row>
    <row r="199" spans="1:1" x14ac:dyDescent="0.25">
      <c r="A199" s="1240"/>
    </row>
    <row r="200" spans="1:1" x14ac:dyDescent="0.25">
      <c r="A200" s="1240"/>
    </row>
    <row r="201" spans="1:1" x14ac:dyDescent="0.25">
      <c r="A201" s="1240"/>
    </row>
    <row r="202" spans="1:1" x14ac:dyDescent="0.25">
      <c r="A202" s="1240"/>
    </row>
    <row r="203" spans="1:1" x14ac:dyDescent="0.25">
      <c r="A203" s="1240"/>
    </row>
    <row r="204" spans="1:1" x14ac:dyDescent="0.25">
      <c r="A204" s="1240"/>
    </row>
    <row r="205" spans="1:1" x14ac:dyDescent="0.25">
      <c r="A205" s="1240"/>
    </row>
    <row r="206" spans="1:1" x14ac:dyDescent="0.25">
      <c r="A206" s="1240"/>
    </row>
    <row r="207" spans="1:1" x14ac:dyDescent="0.25">
      <c r="A207" s="1240"/>
    </row>
    <row r="208" spans="1:1" x14ac:dyDescent="0.25">
      <c r="A208" s="1240"/>
    </row>
    <row r="209" spans="1:1" x14ac:dyDescent="0.25">
      <c r="A209" s="1240"/>
    </row>
    <row r="210" spans="1:1" x14ac:dyDescent="0.25">
      <c r="A210" s="1240"/>
    </row>
    <row r="215" spans="1:1" x14ac:dyDescent="0.25">
      <c r="A215" s="1240"/>
    </row>
    <row r="216" spans="1:1" x14ac:dyDescent="0.25">
      <c r="A216" s="1240"/>
    </row>
    <row r="217" spans="1:1" x14ac:dyDescent="0.25">
      <c r="A217" s="1240"/>
    </row>
    <row r="218" spans="1:1" x14ac:dyDescent="0.25">
      <c r="A218" s="1240"/>
    </row>
    <row r="219" spans="1:1" x14ac:dyDescent="0.25">
      <c r="A219" s="1240"/>
    </row>
    <row r="220" spans="1:1" x14ac:dyDescent="0.25">
      <c r="A220" s="1240"/>
    </row>
    <row r="221" spans="1:1" x14ac:dyDescent="0.25">
      <c r="A221" s="1240"/>
    </row>
    <row r="222" spans="1:1" x14ac:dyDescent="0.25">
      <c r="A222" s="1240"/>
    </row>
    <row r="298" spans="20:22" ht="15.75" thickBot="1" x14ac:dyDescent="0.3"/>
    <row r="299" spans="20:22" x14ac:dyDescent="0.25">
      <c r="T299" s="501" t="str">
        <f t="shared" ref="T299:T308" si="8">B36</f>
        <v>Management</v>
      </c>
      <c r="U299" s="502"/>
      <c r="V299" s="503">
        <f t="shared" ref="V299:V308" si="9">J36</f>
        <v>0.13</v>
      </c>
    </row>
    <row r="300" spans="20:22" x14ac:dyDescent="0.25">
      <c r="T300" s="504" t="str">
        <f t="shared" si="8"/>
        <v>Health &amp; Wellbeing</v>
      </c>
      <c r="U300" s="505"/>
      <c r="V300" s="506">
        <f t="shared" si="9"/>
        <v>0.16</v>
      </c>
    </row>
    <row r="301" spans="20:22" x14ac:dyDescent="0.25">
      <c r="T301" s="504" t="str">
        <f t="shared" si="8"/>
        <v>Energy</v>
      </c>
      <c r="U301" s="505"/>
      <c r="V301" s="506">
        <f t="shared" si="9"/>
        <v>0.14000000000000001</v>
      </c>
    </row>
    <row r="302" spans="20:22" x14ac:dyDescent="0.25">
      <c r="T302" s="504" t="str">
        <f t="shared" si="8"/>
        <v>Transport</v>
      </c>
      <c r="U302" s="505"/>
      <c r="V302" s="506">
        <f t="shared" si="9"/>
        <v>0.1</v>
      </c>
    </row>
    <row r="303" spans="20:22" x14ac:dyDescent="0.25">
      <c r="T303" s="504" t="str">
        <f t="shared" si="8"/>
        <v>Water</v>
      </c>
      <c r="U303" s="505"/>
      <c r="V303" s="506">
        <f t="shared" si="9"/>
        <v>0.04</v>
      </c>
    </row>
    <row r="304" spans="20:22" x14ac:dyDescent="0.25">
      <c r="T304" s="504" t="str">
        <f t="shared" si="8"/>
        <v>Materials</v>
      </c>
      <c r="U304" s="505"/>
      <c r="V304" s="506">
        <f t="shared" si="9"/>
        <v>0.17</v>
      </c>
    </row>
    <row r="305" spans="20:22" x14ac:dyDescent="0.25">
      <c r="T305" s="504" t="str">
        <f t="shared" si="8"/>
        <v>Waste</v>
      </c>
      <c r="U305" s="505"/>
      <c r="V305" s="506">
        <f t="shared" si="9"/>
        <v>7.0000000000000007E-2</v>
      </c>
    </row>
    <row r="306" spans="20:22" x14ac:dyDescent="0.25">
      <c r="T306" s="504" t="str">
        <f t="shared" si="8"/>
        <v>Land Use &amp; Ecology</v>
      </c>
      <c r="U306" s="505"/>
      <c r="V306" s="506">
        <f t="shared" si="9"/>
        <v>0.15</v>
      </c>
    </row>
    <row r="307" spans="20:22" x14ac:dyDescent="0.25">
      <c r="T307" s="504" t="str">
        <f t="shared" si="8"/>
        <v>Pollution</v>
      </c>
      <c r="U307" s="505"/>
      <c r="V307" s="506">
        <f t="shared" si="9"/>
        <v>0.04</v>
      </c>
    </row>
    <row r="308" spans="20:22" ht="15.75" thickBot="1" x14ac:dyDescent="0.3">
      <c r="T308" s="507" t="str">
        <f t="shared" si="8"/>
        <v>Innovation</v>
      </c>
      <c r="U308" s="508"/>
      <c r="V308" s="509">
        <f t="shared" si="9"/>
        <v>0.1</v>
      </c>
    </row>
  </sheetData>
  <sheetProtection algorithmName="SHA-512" hashValue="CTUjrCvmUhXDnNvWVe2AWx+ORJzkpCJ3Cd5J6lKI5FA+G1f2J0JdmKwn0xNkHCehcl9cWeGZ6sO4sHeypi6KXA==" saltValue="ugsGyzKI51tpi/n6T1Hi2Q==" spinCount="100000" sheet="1" objects="1" scenarios="1"/>
  <mergeCells count="23">
    <mergeCell ref="H8:I8"/>
    <mergeCell ref="H10:I10"/>
    <mergeCell ref="H11:I11"/>
    <mergeCell ref="H13:I13"/>
    <mergeCell ref="D8:E8"/>
    <mergeCell ref="D10:E10"/>
    <mergeCell ref="D11:E11"/>
    <mergeCell ref="D13:E13"/>
    <mergeCell ref="F8:G8"/>
    <mergeCell ref="F10:G10"/>
    <mergeCell ref="F11:G11"/>
    <mergeCell ref="F13:G13"/>
    <mergeCell ref="D12:E12"/>
    <mergeCell ref="F12:G12"/>
    <mergeCell ref="H12:I12"/>
    <mergeCell ref="D34:E34"/>
    <mergeCell ref="F34:G34"/>
    <mergeCell ref="H34:I34"/>
    <mergeCell ref="Z10:AN13"/>
    <mergeCell ref="D9:E9"/>
    <mergeCell ref="F9:G9"/>
    <mergeCell ref="H9:I9"/>
    <mergeCell ref="K34:M34"/>
  </mergeCells>
  <conditionalFormatting sqref="K35">
    <cfRule type="expression" dxfId="448" priority="357">
      <formula>$D$9=$AA$37</formula>
    </cfRule>
  </conditionalFormatting>
  <conditionalFormatting sqref="L35">
    <cfRule type="expression" dxfId="447" priority="358">
      <formula>$F$9=$AA$37</formula>
    </cfRule>
  </conditionalFormatting>
  <conditionalFormatting sqref="M35">
    <cfRule type="expression" dxfId="446" priority="359">
      <formula>$H$9=$AA$37</formula>
    </cfRule>
  </conditionalFormatting>
  <conditionalFormatting sqref="D10:E11 D13:E13 D12">
    <cfRule type="expression" dxfId="445" priority="230">
      <formula>$D$9=$AA$37</formula>
    </cfRule>
  </conditionalFormatting>
  <conditionalFormatting sqref="F10:G11 F13:G13 F12">
    <cfRule type="expression" dxfId="444" priority="229">
      <formula>$F$9=$AA$37</formula>
    </cfRule>
  </conditionalFormatting>
  <conditionalFormatting sqref="H10:I11 H13:I13 H12">
    <cfRule type="expression" dxfId="443" priority="228">
      <formula>$H$9=$AA$37</formula>
    </cfRule>
  </conditionalFormatting>
  <conditionalFormatting sqref="D34:E35 K79:K83 K69:K72">
    <cfRule type="expression" dxfId="442" priority="227">
      <formula>$D$9=AD_no</formula>
    </cfRule>
  </conditionalFormatting>
  <conditionalFormatting sqref="F34:G35 L79:L83 L69:L72">
    <cfRule type="expression" dxfId="441" priority="226">
      <formula>$F$9=AD_no</formula>
    </cfRule>
  </conditionalFormatting>
  <conditionalFormatting sqref="H34:I35 M79:M83 M69:M72">
    <cfRule type="expression" dxfId="440" priority="225">
      <formula>$H$9=AD_no</formula>
    </cfRule>
  </conditionalFormatting>
  <conditionalFormatting sqref="D36:E46">
    <cfRule type="expression" dxfId="439" priority="224">
      <formula>$D$9=AD_no</formula>
    </cfRule>
  </conditionalFormatting>
  <conditionalFormatting sqref="F36:G46">
    <cfRule type="expression" dxfId="438" priority="223">
      <formula>$F$9=AD_no</formula>
    </cfRule>
  </conditionalFormatting>
  <conditionalFormatting sqref="K36:K48">
    <cfRule type="expression" dxfId="437" priority="222">
      <formula>$D$9=AD_no</formula>
    </cfRule>
  </conditionalFormatting>
  <conditionalFormatting sqref="L36:L48">
    <cfRule type="expression" dxfId="436" priority="221">
      <formula>$F$9=AD_no</formula>
    </cfRule>
  </conditionalFormatting>
  <conditionalFormatting sqref="H36:I46">
    <cfRule type="expression" dxfId="435" priority="220">
      <formula>$H$9=AD_no</formula>
    </cfRule>
  </conditionalFormatting>
  <conditionalFormatting sqref="M36:M48">
    <cfRule type="expression" dxfId="434" priority="219">
      <formula>$H$9=AD_no</formula>
    </cfRule>
  </conditionalFormatting>
  <conditionalFormatting sqref="K49">
    <cfRule type="expression" dxfId="433" priority="218">
      <formula>$D$9=AD_no</formula>
    </cfRule>
  </conditionalFormatting>
  <conditionalFormatting sqref="L49">
    <cfRule type="expression" dxfId="432" priority="217">
      <formula>$F$9=AD_no</formula>
    </cfRule>
  </conditionalFormatting>
  <conditionalFormatting sqref="M49">
    <cfRule type="expression" dxfId="431" priority="216">
      <formula>$H$9=AD_no</formula>
    </cfRule>
  </conditionalFormatting>
  <conditionalFormatting sqref="K52">
    <cfRule type="expression" dxfId="430" priority="213">
      <formula>$D$9=$AA$37</formula>
    </cfRule>
  </conditionalFormatting>
  <conditionalFormatting sqref="L52">
    <cfRule type="expression" dxfId="429" priority="214">
      <formula>$F$9=$AA$37</formula>
    </cfRule>
  </conditionalFormatting>
  <conditionalFormatting sqref="M52">
    <cfRule type="expression" dxfId="428" priority="215">
      <formula>$H$9=$AA$37</formula>
    </cfRule>
  </conditionalFormatting>
  <conditionalFormatting sqref="K54">
    <cfRule type="expression" dxfId="427" priority="27">
      <formula>$D$9=AD_no</formula>
    </cfRule>
  </conditionalFormatting>
  <conditionalFormatting sqref="L54">
    <cfRule type="expression" dxfId="426" priority="26">
      <formula>$F$9=AD_no</formula>
    </cfRule>
  </conditionalFormatting>
  <conditionalFormatting sqref="M54">
    <cfRule type="expression" dxfId="425" priority="25">
      <formula>$H$9=AD_no</formula>
    </cfRule>
  </conditionalFormatting>
  <conditionalFormatting sqref="J52">
    <cfRule type="expression" dxfId="424" priority="34">
      <formula>$D$9=$AA$37</formula>
    </cfRule>
  </conditionalFormatting>
  <conditionalFormatting sqref="K55">
    <cfRule type="expression" dxfId="423" priority="24">
      <formula>$D$9=AD_no</formula>
    </cfRule>
  </conditionalFormatting>
  <conditionalFormatting sqref="L55">
    <cfRule type="expression" dxfId="422" priority="23">
      <formula>$F$9=AD_no</formula>
    </cfRule>
  </conditionalFormatting>
  <conditionalFormatting sqref="M55">
    <cfRule type="expression" dxfId="421" priority="22">
      <formula>$H$9=AD_no</formula>
    </cfRule>
  </conditionalFormatting>
  <conditionalFormatting sqref="K56">
    <cfRule type="expression" dxfId="420" priority="21">
      <formula>$D$9=AD_no</formula>
    </cfRule>
  </conditionalFormatting>
  <conditionalFormatting sqref="L56">
    <cfRule type="expression" dxfId="419" priority="20">
      <formula>$F$9=AD_no</formula>
    </cfRule>
  </conditionalFormatting>
  <conditionalFormatting sqref="M56">
    <cfRule type="expression" dxfId="418" priority="19">
      <formula>$H$9=AD_no</formula>
    </cfRule>
  </conditionalFormatting>
  <conditionalFormatting sqref="K59">
    <cfRule type="expression" dxfId="417" priority="18">
      <formula>$D$9=AD_no</formula>
    </cfRule>
  </conditionalFormatting>
  <conditionalFormatting sqref="L59">
    <cfRule type="expression" dxfId="416" priority="17">
      <formula>$F$9=AD_no</formula>
    </cfRule>
  </conditionalFormatting>
  <conditionalFormatting sqref="M59">
    <cfRule type="expression" dxfId="415" priority="16">
      <formula>$H$9=AD_no</formula>
    </cfRule>
  </conditionalFormatting>
  <conditionalFormatting sqref="K62:K63">
    <cfRule type="expression" dxfId="414" priority="15">
      <formula>$D$9=AD_no</formula>
    </cfRule>
  </conditionalFormatting>
  <conditionalFormatting sqref="L62:L63">
    <cfRule type="expression" dxfId="413" priority="14">
      <formula>$F$9=AD_no</formula>
    </cfRule>
  </conditionalFormatting>
  <conditionalFormatting sqref="M62:M63">
    <cfRule type="expression" dxfId="412" priority="13">
      <formula>$H$9=AD_no</formula>
    </cfRule>
  </conditionalFormatting>
  <conditionalFormatting sqref="K66">
    <cfRule type="expression" dxfId="411" priority="12">
      <formula>$D$9=AD_no</formula>
    </cfRule>
  </conditionalFormatting>
  <conditionalFormatting sqref="L66">
    <cfRule type="expression" dxfId="410" priority="11">
      <formula>$F$9=AD_no</formula>
    </cfRule>
  </conditionalFormatting>
  <conditionalFormatting sqref="M66">
    <cfRule type="expression" dxfId="409" priority="10">
      <formula>$H$9=AD_no</formula>
    </cfRule>
  </conditionalFormatting>
  <conditionalFormatting sqref="K75:K76">
    <cfRule type="expression" dxfId="408" priority="6">
      <formula>$D$9=AD_no</formula>
    </cfRule>
  </conditionalFormatting>
  <conditionalFormatting sqref="L75:L76">
    <cfRule type="expression" dxfId="407" priority="5">
      <formula>$F$9=AD_no</formula>
    </cfRule>
  </conditionalFormatting>
  <conditionalFormatting sqref="M75:M76">
    <cfRule type="expression" dxfId="406" priority="4">
      <formula>$H$9=AD_no</formula>
    </cfRule>
  </conditionalFormatting>
  <conditionalFormatting sqref="K54:M56 K59:M59 K62:M63 K66:M66 K75:M76 K79:M83 K69:M72">
    <cfRule type="expression" dxfId="405" priority="6886">
      <formula>$J54&lt;&gt;K54</formula>
    </cfRule>
  </conditionalFormatting>
  <dataValidations count="1">
    <dataValidation type="list" allowBlank="1" showInputMessage="1" showErrorMessage="1" sqref="D9 H9 F9" xr:uid="{00000000-0002-0000-0500-000000000000}">
      <formula1>$AA$36:$AA$37</formula1>
    </dataValidation>
  </dataValidations>
  <pageMargins left="0.51181102362204722" right="0.51181102362204722" top="0.35433070866141736" bottom="0.35433070866141736" header="0.31496062992125984" footer="0.31496062992125984"/>
  <pageSetup paperSize="9" scale="65" fitToHeight="2" orientation="landscape" verticalDpi="598"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X381"/>
  <sheetViews>
    <sheetView topLeftCell="C1" zoomScale="70" zoomScaleNormal="70" zoomScalePageLayoutView="30" workbookViewId="0">
      <pane ySplit="9" topLeftCell="A10" activePane="bottomLeft" state="frozen"/>
      <selection activeCell="H9" sqref="H9:I9"/>
      <selection pane="bottomLeft" activeCell="E6" sqref="E6"/>
    </sheetView>
  </sheetViews>
  <sheetFormatPr defaultColWidth="9.140625" defaultRowHeight="15" x14ac:dyDescent="0.25"/>
  <cols>
    <col min="1" max="1" width="4.5703125" style="387" hidden="1" customWidth="1"/>
    <col min="2" max="2" width="27.42578125" style="387" hidden="1" customWidth="1"/>
    <col min="3" max="3" width="5.7109375" style="387" customWidth="1"/>
    <col min="4" max="4" width="10.140625" style="387" customWidth="1"/>
    <col min="5" max="5" width="68.7109375" style="8" customWidth="1"/>
    <col min="6" max="6" width="9.140625" style="387" customWidth="1"/>
    <col min="7" max="7" width="7.42578125" style="387" customWidth="1"/>
    <col min="8" max="8" width="12" style="387" customWidth="1"/>
    <col min="9" max="9" width="20" style="387" customWidth="1"/>
    <col min="10" max="10" width="8.85546875" style="387" customWidth="1"/>
    <col min="11" max="11" width="5.140625" style="387" customWidth="1"/>
    <col min="12" max="12" width="37.7109375" style="387" customWidth="1"/>
    <col min="13" max="13" width="1.7109375" style="386" customWidth="1"/>
    <col min="14" max="14" width="7.28515625" style="387" customWidth="1"/>
    <col min="15" max="15" width="11" style="387" customWidth="1"/>
    <col min="16" max="16" width="16.42578125" style="387" bestFit="1" customWidth="1"/>
    <col min="17" max="17" width="7.7109375" style="387" customWidth="1"/>
    <col min="18" max="18" width="16.7109375" style="387" customWidth="1"/>
    <col min="19" max="19" width="25.5703125" style="387" customWidth="1"/>
    <col min="20" max="20" width="1.7109375" style="386" customWidth="1"/>
    <col min="21" max="21" width="7" style="387" customWidth="1"/>
    <col min="22" max="22" width="9.7109375" style="387" customWidth="1"/>
    <col min="23" max="23" width="20.28515625" style="387" bestFit="1" customWidth="1"/>
    <col min="24" max="24" width="7.7109375" style="387" customWidth="1"/>
    <col min="25" max="25" width="11.7109375" style="387" customWidth="1"/>
    <col min="26" max="26" width="28.85546875" style="387" customWidth="1"/>
    <col min="27" max="27" width="1.28515625" style="387" hidden="1" customWidth="1"/>
    <col min="28" max="28" width="21.140625" style="386" hidden="1" customWidth="1"/>
    <col min="29" max="31" width="1.7109375" style="386" hidden="1" customWidth="1"/>
    <col min="32" max="32" width="6.42578125" style="386" hidden="1" customWidth="1"/>
    <col min="33" max="34" width="9.140625" style="387" hidden="1" customWidth="1"/>
    <col min="35" max="36" width="9.140625" style="387" customWidth="1"/>
    <col min="37" max="37" width="11.85546875" style="387" customWidth="1"/>
    <col min="38" max="38" width="2" style="387" customWidth="1"/>
    <col min="39" max="78" width="9.140625" style="387" customWidth="1"/>
    <col min="79" max="16384" width="9.140625" style="387"/>
  </cols>
  <sheetData>
    <row r="1" spans="1:50" ht="48" customHeight="1" x14ac:dyDescent="0.25">
      <c r="A1" s="384"/>
      <c r="B1" s="384"/>
      <c r="C1" s="384"/>
      <c r="D1" s="510"/>
      <c r="E1" s="1216" t="s">
        <v>969</v>
      </c>
      <c r="F1" s="510"/>
      <c r="G1" s="510"/>
      <c r="H1" s="510"/>
      <c r="I1" s="510"/>
      <c r="J1" s="510"/>
      <c r="K1" s="510"/>
      <c r="L1" s="511" t="s">
        <v>333</v>
      </c>
      <c r="M1" s="510"/>
      <c r="N1" s="510"/>
      <c r="O1" s="510"/>
      <c r="P1" s="510"/>
      <c r="Q1" s="510"/>
      <c r="R1" s="510"/>
      <c r="S1" s="510"/>
      <c r="T1" s="510"/>
      <c r="U1" s="510"/>
      <c r="V1" s="510"/>
      <c r="W1" s="510"/>
      <c r="X1" s="510"/>
      <c r="Y1" s="510"/>
      <c r="Z1" s="633" t="str">
        <f>IF('Manuell filtrering og justering'!I2='Manuell filtrering og justering'!J2,"Bespoke","")</f>
        <v/>
      </c>
      <c r="AA1" s="633"/>
      <c r="AB1" s="385"/>
      <c r="AC1" s="364"/>
      <c r="AD1" s="364"/>
      <c r="AE1" s="364"/>
    </row>
    <row r="2" spans="1:50" s="388" customFormat="1" ht="15.75" x14ac:dyDescent="0.25">
      <c r="D2" s="388">
        <v>3</v>
      </c>
      <c r="E2" s="1227">
        <v>5</v>
      </c>
      <c r="F2" s="415">
        <v>6</v>
      </c>
      <c r="G2" s="415">
        <v>7</v>
      </c>
      <c r="H2" s="415">
        <v>8</v>
      </c>
      <c r="I2" s="415">
        <v>9</v>
      </c>
      <c r="J2" s="415">
        <v>10</v>
      </c>
      <c r="K2" s="415">
        <v>11</v>
      </c>
      <c r="L2" s="415">
        <v>12</v>
      </c>
      <c r="M2" s="415"/>
      <c r="N2" s="415">
        <v>14</v>
      </c>
      <c r="O2" s="415">
        <v>15</v>
      </c>
      <c r="P2" s="415">
        <v>16</v>
      </c>
      <c r="Q2" s="415">
        <v>17</v>
      </c>
      <c r="R2" s="415">
        <v>18</v>
      </c>
      <c r="S2" s="415">
        <v>19</v>
      </c>
      <c r="T2" s="415">
        <v>20</v>
      </c>
      <c r="U2" s="415">
        <v>21</v>
      </c>
      <c r="V2" s="415">
        <v>22</v>
      </c>
      <c r="W2" s="415">
        <v>23</v>
      </c>
      <c r="X2" s="415">
        <v>25</v>
      </c>
      <c r="Y2" s="415">
        <v>25</v>
      </c>
      <c r="Z2" s="415">
        <v>26</v>
      </c>
      <c r="AA2" s="415"/>
      <c r="AB2" s="273">
        <v>24</v>
      </c>
      <c r="AC2" s="273"/>
      <c r="AD2" s="273"/>
      <c r="AE2" s="273"/>
      <c r="AF2" s="389"/>
      <c r="AG2" s="390"/>
    </row>
    <row r="3" spans="1:50" ht="26.25" x14ac:dyDescent="0.4">
      <c r="A3" s="95"/>
      <c r="B3" s="95"/>
      <c r="C3" s="95"/>
      <c r="D3" s="398"/>
      <c r="E3" s="1217"/>
      <c r="F3" s="391"/>
      <c r="G3" s="371" t="s">
        <v>217</v>
      </c>
      <c r="H3" s="392"/>
      <c r="I3" s="392"/>
      <c r="J3" s="392"/>
      <c r="K3" s="393"/>
      <c r="L3" s="394"/>
      <c r="M3" s="395"/>
      <c r="N3" s="371" t="s">
        <v>222</v>
      </c>
      <c r="O3" s="371"/>
      <c r="P3" s="371"/>
      <c r="Q3" s="392"/>
      <c r="R3" s="392"/>
      <c r="S3" s="392"/>
      <c r="T3" s="395"/>
      <c r="U3" s="371" t="s">
        <v>223</v>
      </c>
      <c r="V3" s="371"/>
      <c r="W3" s="371"/>
      <c r="X3" s="392"/>
      <c r="Y3" s="392"/>
      <c r="Z3" s="396"/>
      <c r="AA3" s="396"/>
      <c r="AB3" s="688" t="s">
        <v>425</v>
      </c>
      <c r="AC3" s="397"/>
      <c r="AD3" s="397"/>
      <c r="AE3" s="397"/>
    </row>
    <row r="4" spans="1:50" s="401" customFormat="1" x14ac:dyDescent="0.25">
      <c r="A4" s="95"/>
      <c r="B4" s="95"/>
      <c r="C4" s="95"/>
      <c r="D4" s="1218"/>
      <c r="E4" s="1218" t="s">
        <v>394</v>
      </c>
      <c r="F4" s="399"/>
      <c r="G4" s="373" t="s">
        <v>314</v>
      </c>
      <c r="H4" s="374"/>
      <c r="I4" s="375"/>
      <c r="J4" s="376" t="str">
        <f>'Pre-Assessment Estimator'!L4</f>
        <v>Unclassified</v>
      </c>
      <c r="K4" s="377"/>
      <c r="L4" s="381" t="s">
        <v>298</v>
      </c>
      <c r="M4" s="400"/>
      <c r="N4" s="373" t="s">
        <v>314</v>
      </c>
      <c r="O4" s="374"/>
      <c r="P4" s="374"/>
      <c r="Q4" s="374"/>
      <c r="R4" s="374"/>
      <c r="S4" s="377" t="str">
        <f>'Pre-Assessment Estimator'!S4</f>
        <v/>
      </c>
      <c r="T4" s="400"/>
      <c r="U4" s="373" t="s">
        <v>314</v>
      </c>
      <c r="V4" s="374"/>
      <c r="W4" s="374"/>
      <c r="X4" s="374"/>
      <c r="Y4" s="374"/>
      <c r="Z4" s="372" t="str">
        <f>'Pre-Assessment Estimator'!Z4</f>
        <v/>
      </c>
      <c r="AA4" s="690"/>
      <c r="AB4" s="693" t="str">
        <f>IF('Pre-Assessment Estimator'!AJ4=ais_ja,"Option 2: 50% of","")</f>
        <v/>
      </c>
      <c r="AF4" s="386"/>
      <c r="AG4" s="402"/>
      <c r="AP4" s="403"/>
    </row>
    <row r="5" spans="1:50" s="401" customFormat="1" x14ac:dyDescent="0.25">
      <c r="A5" s="95"/>
      <c r="B5" s="95"/>
      <c r="C5" s="95"/>
      <c r="D5" s="1219"/>
      <c r="E5" s="1219" t="str">
        <f>'Pre-Assessment Estimator'!E5</f>
        <v/>
      </c>
      <c r="F5" s="399"/>
      <c r="G5" s="373" t="s">
        <v>86</v>
      </c>
      <c r="H5" s="374"/>
      <c r="I5" s="375"/>
      <c r="J5" s="378">
        <f>'Pre-Assessment Estimator'!L5</f>
        <v>0</v>
      </c>
      <c r="K5" s="379"/>
      <c r="L5" s="381" t="s">
        <v>299</v>
      </c>
      <c r="M5" s="400"/>
      <c r="N5" s="373" t="s">
        <v>86</v>
      </c>
      <c r="O5" s="374"/>
      <c r="P5" s="374"/>
      <c r="Q5" s="374"/>
      <c r="R5" s="374"/>
      <c r="S5" s="377" t="str">
        <f>'Pre-Assessment Estimator'!S5</f>
        <v/>
      </c>
      <c r="T5" s="400"/>
      <c r="U5" s="373" t="s">
        <v>86</v>
      </c>
      <c r="V5" s="374"/>
      <c r="W5" s="374"/>
      <c r="X5" s="374"/>
      <c r="Y5" s="374"/>
      <c r="Z5" s="372" t="str">
        <f>'Pre-Assessment Estimator'!Z5</f>
        <v/>
      </c>
      <c r="AA5" s="691"/>
      <c r="AB5" s="693" t="str">
        <f>IF('Pre-Assessment Estimator'!AJ4=ais_ja,"achieved credit is","")</f>
        <v/>
      </c>
      <c r="AF5" s="386"/>
      <c r="AG5" s="404"/>
    </row>
    <row r="6" spans="1:50" s="401" customFormat="1" x14ac:dyDescent="0.25">
      <c r="A6" s="95"/>
      <c r="B6" s="95"/>
      <c r="C6" s="95"/>
      <c r="D6" s="1220"/>
      <c r="E6" s="1220" t="str">
        <f>'Pre-Assessment Estimator'!E6</f>
        <v>Pre-Assessment Estimator Version: 1.3</v>
      </c>
      <c r="F6" s="399"/>
      <c r="G6" s="373" t="s">
        <v>81</v>
      </c>
      <c r="H6" s="374"/>
      <c r="I6" s="375"/>
      <c r="J6" s="378" t="str">
        <f>'Pre-Assessment Estimator'!L6</f>
        <v>Unclassified</v>
      </c>
      <c r="K6" s="379"/>
      <c r="L6" s="381" t="s">
        <v>300</v>
      </c>
      <c r="M6" s="400"/>
      <c r="N6" s="373" t="s">
        <v>81</v>
      </c>
      <c r="O6" s="374"/>
      <c r="P6" s="374"/>
      <c r="Q6" s="374"/>
      <c r="R6" s="374"/>
      <c r="S6" s="377" t="str">
        <f>'Pre-Assessment Estimator'!S6</f>
        <v/>
      </c>
      <c r="T6" s="400"/>
      <c r="U6" s="373" t="s">
        <v>81</v>
      </c>
      <c r="V6" s="374"/>
      <c r="W6" s="374"/>
      <c r="X6" s="374"/>
      <c r="Y6" s="374"/>
      <c r="Z6" s="372" t="str">
        <f>'Pre-Assessment Estimator'!Z6</f>
        <v/>
      </c>
      <c r="AA6" s="691"/>
      <c r="AB6" s="693"/>
      <c r="AF6" s="386"/>
      <c r="AG6" s="404"/>
    </row>
    <row r="7" spans="1:50" s="401" customFormat="1" x14ac:dyDescent="0.25">
      <c r="A7" s="95"/>
      <c r="B7" s="95"/>
      <c r="C7" s="95"/>
      <c r="D7" s="1220"/>
      <c r="E7" s="1220" t="str">
        <f>'Pre-Assessment Estimator'!E7</f>
        <v>New Construction (fully fitted)</v>
      </c>
      <c r="F7" s="399"/>
      <c r="G7" s="373" t="s">
        <v>979</v>
      </c>
      <c r="H7" s="374"/>
      <c r="I7" s="375"/>
      <c r="J7" s="378" t="str">
        <f>'Pre-Assessment Estimator'!L7</f>
        <v>No</v>
      </c>
      <c r="K7" s="380"/>
      <c r="L7" s="381"/>
      <c r="M7" s="400"/>
      <c r="N7" s="373" t="s">
        <v>979</v>
      </c>
      <c r="O7" s="374"/>
      <c r="P7" s="374"/>
      <c r="Q7" s="374"/>
      <c r="R7" s="374"/>
      <c r="S7" s="377" t="str">
        <f>'Pre-Assessment Estimator'!S7</f>
        <v/>
      </c>
      <c r="T7" s="400"/>
      <c r="U7" s="373" t="s">
        <v>979</v>
      </c>
      <c r="V7" s="374"/>
      <c r="W7" s="374"/>
      <c r="X7" s="374"/>
      <c r="Y7" s="374"/>
      <c r="Z7" s="372" t="str">
        <f>'Pre-Assessment Estimator'!Z7</f>
        <v/>
      </c>
      <c r="AA7" s="692"/>
      <c r="AB7" s="694" t="str">
        <f>IF('Pre-Assessment Estimator'!AJ4=ais_ja,"subtracted from score.","")</f>
        <v/>
      </c>
      <c r="AF7" s="386"/>
      <c r="AG7" s="404"/>
    </row>
    <row r="8" spans="1:50" s="401" customFormat="1" x14ac:dyDescent="0.25">
      <c r="D8" s="1238"/>
      <c r="E8" s="1239" t="str">
        <f>'Pre-Assessment Estimator'!E8</f>
        <v/>
      </c>
      <c r="F8" s="406"/>
      <c r="G8" s="407"/>
      <c r="H8" s="406"/>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row>
    <row r="9" spans="1:50" ht="45" x14ac:dyDescent="0.3">
      <c r="A9" s="409" t="s">
        <v>219</v>
      </c>
      <c r="B9" s="409" t="s">
        <v>220</v>
      </c>
      <c r="C9" s="409"/>
      <c r="D9" s="1221"/>
      <c r="E9" s="1221" t="s">
        <v>1019</v>
      </c>
      <c r="F9" s="1205" t="s">
        <v>102</v>
      </c>
      <c r="G9" s="567" t="s">
        <v>44</v>
      </c>
      <c r="H9" s="1206" t="s">
        <v>103</v>
      </c>
      <c r="I9" s="1207" t="s">
        <v>50</v>
      </c>
      <c r="J9" s="1208" t="s">
        <v>301</v>
      </c>
      <c r="K9" s="1209" t="s">
        <v>261</v>
      </c>
      <c r="L9" s="1210" t="s">
        <v>224</v>
      </c>
      <c r="M9" s="1211"/>
      <c r="N9" s="568" t="s">
        <v>44</v>
      </c>
      <c r="O9" s="568" t="s">
        <v>827</v>
      </c>
      <c r="P9" s="568" t="s">
        <v>50</v>
      </c>
      <c r="Q9" s="1212" t="s">
        <v>301</v>
      </c>
      <c r="R9" s="1212" t="s">
        <v>261</v>
      </c>
      <c r="S9" s="1213" t="s">
        <v>262</v>
      </c>
      <c r="T9" s="1214"/>
      <c r="U9" s="568" t="s">
        <v>44</v>
      </c>
      <c r="V9" s="568" t="s">
        <v>827</v>
      </c>
      <c r="W9" s="568" t="s">
        <v>50</v>
      </c>
      <c r="X9" s="1212" t="s">
        <v>301</v>
      </c>
      <c r="Y9" s="1212" t="s">
        <v>261</v>
      </c>
      <c r="Z9" s="1215" t="s">
        <v>262</v>
      </c>
      <c r="AA9" s="695"/>
      <c r="AB9" s="689" t="str">
        <f>IF('Pre-Assessment Estimator'!AJ4=ais_ja,"Compliance?","")</f>
        <v/>
      </c>
      <c r="AT9" s="410"/>
      <c r="AX9" s="405"/>
    </row>
    <row r="10" spans="1:50" ht="18.75" x14ac:dyDescent="0.25">
      <c r="A10" s="823">
        <v>1</v>
      </c>
      <c r="B10" s="823" t="s">
        <v>63</v>
      </c>
      <c r="C10" s="823"/>
      <c r="D10" s="569"/>
      <c r="E10" s="569" t="s">
        <v>63</v>
      </c>
      <c r="F10" s="570"/>
      <c r="G10" s="570"/>
      <c r="H10" s="570"/>
      <c r="I10" s="570"/>
      <c r="J10" s="571"/>
      <c r="K10" s="570"/>
      <c r="L10" s="571"/>
      <c r="M10" s="572"/>
      <c r="N10" s="570"/>
      <c r="O10" s="570"/>
      <c r="P10" s="570"/>
      <c r="Q10" s="571"/>
      <c r="R10" s="570"/>
      <c r="S10" s="571"/>
      <c r="T10" s="573"/>
      <c r="U10" s="570"/>
      <c r="V10" s="570"/>
      <c r="W10" s="570"/>
      <c r="X10" s="571"/>
      <c r="Y10" s="570"/>
      <c r="Z10" s="411"/>
      <c r="AA10" s="696">
        <v>1</v>
      </c>
      <c r="AB10" s="697"/>
      <c r="AF10" s="386">
        <f>IF(F2="",1,IF(F2=0,2,1))</f>
        <v>1</v>
      </c>
      <c r="AH10" s="387" t="s">
        <v>297</v>
      </c>
      <c r="AV10" s="412"/>
    </row>
    <row r="11" spans="1:50" x14ac:dyDescent="0.25">
      <c r="A11" s="823">
        <v>2</v>
      </c>
      <c r="B11" s="1236" t="s">
        <v>63</v>
      </c>
      <c r="C11" s="1236"/>
      <c r="D11" s="1258" t="str">
        <f>VLOOKUP($A11,'Pre-Assessment Estimator'!$A$10:$Z$225,D$2,FALSE)</f>
        <v>Man 01</v>
      </c>
      <c r="E11" s="1258" t="str">
        <f>VLOOKUP($A11,'Pre-Assessment Estimator'!$A$10:$Z$225,E$2,FALSE)</f>
        <v>Man 01 Project brief and design</v>
      </c>
      <c r="F11" s="574">
        <f>VLOOKUP($A11,'Pre-Assessment Estimator'!$A$10:$Z$225,F$2,FALSE)</f>
        <v>5</v>
      </c>
      <c r="G11" s="580" t="str">
        <f>IF(VLOOKUP($A11,'Pre-Assessment Estimator'!$A$10:$Z$225,G$2,FALSE)=0,"",VLOOKUP($A11,'Pre-Assessment Estimator'!$A$10:$Z$225,G$2,FALSE))</f>
        <v/>
      </c>
      <c r="H11" s="1222" t="str">
        <f>VLOOKUP($A11,'Pre-Assessment Estimator'!$A$10:$Z$225,H$2,FALSE)</f>
        <v>0 c. 0 %</v>
      </c>
      <c r="I11" s="576" t="str">
        <f>VLOOKUP($A11,'Pre-Assessment Estimator'!$A$10:$Z$225,I$2,FALSE)</f>
        <v>N/A</v>
      </c>
      <c r="J11" s="577" t="str">
        <f>IF(VLOOKUP($A11,'Pre-Assessment Estimator'!$A$10:$Z$225,J$2,FALSE)=0,"",VLOOKUP($A11,'Pre-Assessment Estimator'!$A$10:$Z$225,J$2,FALSE))</f>
        <v/>
      </c>
      <c r="K11" s="577" t="str">
        <f>IF(VLOOKUP($A11,'Pre-Assessment Estimator'!$A$10:$Z$225,K$2,FALSE)=0,"",VLOOKUP($A11,'Pre-Assessment Estimator'!$A$10:$Z$225,K$2,FALSE))</f>
        <v/>
      </c>
      <c r="L11" s="578" t="str">
        <f>IF(VLOOKUP($A11,'Pre-Assessment Estimator'!$A$10:$Z$225,L$2,FALSE)=0,"",VLOOKUP($A11,'Pre-Assessment Estimator'!$A$10:$Z$225,L$2,FALSE))</f>
        <v/>
      </c>
      <c r="M11" s="579"/>
      <c r="N11" s="580" t="str">
        <f>IF(VLOOKUP($A11,'Pre-Assessment Estimator'!$A$10:$Z$225,N$2,FALSE)=0,"",VLOOKUP($A11,'Pre-Assessment Estimator'!$A$10:$Z$225,N$2,FALSE))</f>
        <v/>
      </c>
      <c r="O11" s="575" t="str">
        <f>VLOOKUP($A11,'Pre-Assessment Estimator'!$A$10:$Z$225,O$2,FALSE)</f>
        <v>0 c. 0 %</v>
      </c>
      <c r="P11" s="574" t="str">
        <f>VLOOKUP($A11,'Pre-Assessment Estimator'!$A$10:$Z$225,P$2,FALSE)</f>
        <v>N/A</v>
      </c>
      <c r="Q11" s="577" t="str">
        <f>IF(VLOOKUP($A11,'Pre-Assessment Estimator'!$A$10:$Z$225,Q$2,FALSE)=0,"",VLOOKUP($A11,'Pre-Assessment Estimator'!$A$10:$Z$225,Q$2,FALSE))</f>
        <v/>
      </c>
      <c r="R11" s="577" t="str">
        <f>IF(VLOOKUP($A11,'Pre-Assessment Estimator'!$A$10:$Z$225,R$2,FALSE)=0,"",VLOOKUP($A11,'Pre-Assessment Estimator'!$A$10:$Z$225,R$2,FALSE))</f>
        <v/>
      </c>
      <c r="S11" s="578" t="str">
        <f>IF(VLOOKUP($A11,'Pre-Assessment Estimator'!$A$10:$Z$225,S$2,FALSE)=0,"",VLOOKUP($A11,'Pre-Assessment Estimator'!$A$10:$Z$225,S$2,FALSE))</f>
        <v/>
      </c>
      <c r="T11" s="581"/>
      <c r="U11" s="580" t="str">
        <f>IF(VLOOKUP($A11,'Pre-Assessment Estimator'!$A$10:$Z$225,U$2,FALSE)=0,"",VLOOKUP($A11,'Pre-Assessment Estimator'!$A$10:$Z$225,U$2,FALSE))</f>
        <v/>
      </c>
      <c r="V11" s="575" t="str">
        <f>VLOOKUP($A11,'Pre-Assessment Estimator'!$A$10:$Z$225,V$2,FALSE)</f>
        <v>0 c. 0 %</v>
      </c>
      <c r="W11" s="574" t="str">
        <f>VLOOKUP($A11,'Pre-Assessment Estimator'!$A$10:$Z$225,W$2,FALSE)</f>
        <v>N/A</v>
      </c>
      <c r="X11" s="577" t="str">
        <f>IF(VLOOKUP($A11,'Pre-Assessment Estimator'!$A$10:$Z$225,X$2,FALSE)=0,"",VLOOKUP($A11,'Pre-Assessment Estimator'!$A$10:$Z$225,X$2,FALSE))</f>
        <v/>
      </c>
      <c r="Y11" s="577" t="str">
        <f>IF(VLOOKUP($A11,'Pre-Assessment Estimator'!$A$10:$Z$225,Y$2,FALSE)=0,"",VLOOKUP($A11,'Pre-Assessment Estimator'!$A$10:$Z$225,Y$2,FALSE))</f>
        <v/>
      </c>
      <c r="Z11" s="370" t="str">
        <f>IF(VLOOKUP($A11,'Pre-Assessment Estimator'!$A$10:$Z$225,Z$2,FALSE)=0,"",VLOOKUP($A11,'Pre-Assessment Estimator'!$A$10:$Z$225,Z$2,FALSE))</f>
        <v/>
      </c>
      <c r="AA11" s="696">
        <v>2</v>
      </c>
      <c r="AB11" s="577" t="str">
        <f>IF(VLOOKUP($A11,'Pre-Assessment Estimator'!$A$10:$AB$225,AB$2,FALSE)=0,"",VLOOKUP($A11,'Pre-Assessment Estimator'!$A$10:$AB$225,AB$2,FALSE))</f>
        <v/>
      </c>
      <c r="AF11" s="386">
        <f>IF(F11="",1,IF(F11=0,2,1))</f>
        <v>1</v>
      </c>
      <c r="AH11" s="387" t="s">
        <v>295</v>
      </c>
    </row>
    <row r="12" spans="1:50" x14ac:dyDescent="0.25">
      <c r="A12" s="823">
        <v>3</v>
      </c>
      <c r="B12" s="1236" t="s">
        <v>63</v>
      </c>
      <c r="C12" s="1236"/>
      <c r="D12" s="1259" t="str">
        <f>VLOOKUP($A12,'Pre-Assessment Estimator'!$A$10:$Z$225,D$2,FALSE)</f>
        <v>Man 01</v>
      </c>
      <c r="E12" s="1260" t="str">
        <f>VLOOKUP($A12,'Pre-Assessment Estimator'!$A$10:$Z$225,E$2,FALSE)</f>
        <v>Planning project delivery</v>
      </c>
      <c r="F12" s="574">
        <f>VLOOKUP($A12,'Pre-Assessment Estimator'!$A$10:$Z$225,F$2,FALSE)</f>
        <v>1</v>
      </c>
      <c r="G12" s="580" t="str">
        <f>IF(VLOOKUP($A12,'Pre-Assessment Estimator'!$A$10:$Z$225,G$2,FALSE)=0,"",VLOOKUP($A12,'Pre-Assessment Estimator'!$A$10:$Z$225,G$2,FALSE))</f>
        <v/>
      </c>
      <c r="H12" s="575">
        <f>VLOOKUP($A12,'Pre-Assessment Estimator'!$A$10:$Z$225,H$2,FALSE)</f>
        <v>0</v>
      </c>
      <c r="I12" s="574" t="str">
        <f>VLOOKUP($A12,'Pre-Assessment Estimator'!$A$10:$Z$225,I$2,FALSE)</f>
        <v>Very Good</v>
      </c>
      <c r="J12" s="577" t="str">
        <f>IF(VLOOKUP($A12,'Pre-Assessment Estimator'!$A$10:$Z$225,J$2,FALSE)=0,"",VLOOKUP($A12,'Pre-Assessment Estimator'!$A$10:$Z$225,J$2,FALSE))</f>
        <v/>
      </c>
      <c r="K12" s="577" t="str">
        <f>IF(VLOOKUP($A12,'Pre-Assessment Estimator'!$A$10:$Z$225,K$2,FALSE)=0,"",VLOOKUP($A12,'Pre-Assessment Estimator'!$A$10:$Z$225,K$2,FALSE))</f>
        <v/>
      </c>
      <c r="L12" s="578" t="str">
        <f>IF(VLOOKUP($A12,'Pre-Assessment Estimator'!$A$10:$Z$225,L$2,FALSE)=0,"",VLOOKUP($A12,'Pre-Assessment Estimator'!$A$10:$Z$225,L$2,FALSE))</f>
        <v/>
      </c>
      <c r="M12" s="579"/>
      <c r="N12" s="580" t="str">
        <f>IF(VLOOKUP($A12,'Pre-Assessment Estimator'!$A$10:$Z$225,N$2,FALSE)=0,"",VLOOKUP($A12,'Pre-Assessment Estimator'!$A$10:$Z$225,N$2,FALSE))</f>
        <v/>
      </c>
      <c r="O12" s="575">
        <f>VLOOKUP($A12,'Pre-Assessment Estimator'!$A$10:$Z$225,O$2,FALSE)</f>
        <v>0</v>
      </c>
      <c r="P12" s="574" t="str">
        <f>VLOOKUP($A12,'Pre-Assessment Estimator'!$A$10:$Z$225,P$2,FALSE)</f>
        <v>Very Good</v>
      </c>
      <c r="Q12" s="577" t="str">
        <f>IF(VLOOKUP($A12,'Pre-Assessment Estimator'!$A$10:$Z$225,Q$2,FALSE)=0,"",VLOOKUP($A12,'Pre-Assessment Estimator'!$A$10:$Z$225,Q$2,FALSE))</f>
        <v/>
      </c>
      <c r="R12" s="577" t="str">
        <f>IF(VLOOKUP($A12,'Pre-Assessment Estimator'!$A$10:$Z$225,R$2,FALSE)=0,"",VLOOKUP($A12,'Pre-Assessment Estimator'!$A$10:$Z$225,R$2,FALSE))</f>
        <v/>
      </c>
      <c r="S12" s="578" t="str">
        <f>IF(VLOOKUP($A12,'Pre-Assessment Estimator'!$A$10:$Z$225,S$2,FALSE)=0,"",VLOOKUP($A12,'Pre-Assessment Estimator'!$A$10:$Z$225,S$2,FALSE))</f>
        <v/>
      </c>
      <c r="T12" s="581"/>
      <c r="U12" s="580" t="str">
        <f>IF(VLOOKUP($A12,'Pre-Assessment Estimator'!$A$10:$Z$225,U$2,FALSE)=0,"",VLOOKUP($A12,'Pre-Assessment Estimator'!$A$10:$Z$225,U$2,FALSE))</f>
        <v/>
      </c>
      <c r="V12" s="575">
        <f>VLOOKUP($A12,'Pre-Assessment Estimator'!$A$10:$Z$225,V$2,FALSE)</f>
        <v>0</v>
      </c>
      <c r="W12" s="574" t="str">
        <f>VLOOKUP($A12,'Pre-Assessment Estimator'!$A$10:$Z$225,W$2,FALSE)</f>
        <v>Very Good</v>
      </c>
      <c r="X12" s="577" t="str">
        <f>IF(VLOOKUP($A12,'Pre-Assessment Estimator'!$A$10:$Z$225,X$2,FALSE)=0,"",VLOOKUP($A12,'Pre-Assessment Estimator'!$A$10:$Z$225,X$2,FALSE))</f>
        <v/>
      </c>
      <c r="Y12" s="577" t="str">
        <f>IF(VLOOKUP($A12,'Pre-Assessment Estimator'!$A$10:$Z$225,Y$2,FALSE)=0,"",VLOOKUP($A12,'Pre-Assessment Estimator'!$A$10:$Z$225,Y$2,FALSE))</f>
        <v/>
      </c>
      <c r="Z12" s="370" t="str">
        <f>IF(VLOOKUP($A12,'Pre-Assessment Estimator'!$A$10:$Z$225,Z$2,FALSE)=0,"",VLOOKUP($A12,'Pre-Assessment Estimator'!$A$10:$Z$225,Z$2,FALSE))</f>
        <v/>
      </c>
      <c r="AA12" s="696">
        <v>3</v>
      </c>
      <c r="AB12" s="577" t="str">
        <f>IF(VLOOKUP($A12,'Pre-Assessment Estimator'!$A$10:$AB$225,AB$2,FALSE)=0,"",VLOOKUP($A12,'Pre-Assessment Estimator'!$A$10:$AB$225,AB$2,FALSE))</f>
        <v/>
      </c>
      <c r="AF12" s="386">
        <f>IF(F12="",1,IF(F12=0,2,1))</f>
        <v>1</v>
      </c>
      <c r="AH12" s="387" t="s">
        <v>296</v>
      </c>
      <c r="AL12" s="413"/>
    </row>
    <row r="13" spans="1:50" ht="30" x14ac:dyDescent="0.25">
      <c r="A13" s="823">
        <v>4</v>
      </c>
      <c r="B13" s="1236" t="s">
        <v>63</v>
      </c>
      <c r="C13" s="1236"/>
      <c r="D13" s="1259" t="str">
        <f>VLOOKUP($A13,'Pre-Assessment Estimator'!$A$10:$Z$225,D$2,FALSE)</f>
        <v>Man 01</v>
      </c>
      <c r="E13" s="1260" t="str">
        <f>VLOOKUP($A13,'Pre-Assessment Estimator'!$A$10:$Z$225,E$2,FALSE)</f>
        <v>Climate gas calculation for whole building life cycle (EU taxonomy requirement: criterion 2-3)</v>
      </c>
      <c r="F13" s="574">
        <f>VLOOKUP($A13,'Pre-Assessment Estimator'!$A$10:$Z$225,F$2,FALSE)</f>
        <v>1</v>
      </c>
      <c r="G13" s="580" t="str">
        <f>IF(VLOOKUP($A13,'Pre-Assessment Estimator'!$A$10:$Z$225,G$2,FALSE)=0,"",VLOOKUP($A13,'Pre-Assessment Estimator'!$A$10:$Z$225,G$2,FALSE))</f>
        <v/>
      </c>
      <c r="H13" s="575">
        <f>VLOOKUP($A13,'Pre-Assessment Estimator'!$A$10:$Z$225,H$2,FALSE)</f>
        <v>0</v>
      </c>
      <c r="I13" s="574" t="str">
        <f>VLOOKUP($A13,'Pre-Assessment Estimator'!$A$10:$Z$225,I$2,FALSE)</f>
        <v>Very Good</v>
      </c>
      <c r="J13" s="577" t="str">
        <f>IF(VLOOKUP($A13,'Pre-Assessment Estimator'!$A$10:$Z$225,J$2,FALSE)=0,"",VLOOKUP($A13,'Pre-Assessment Estimator'!$A$10:$Z$225,J$2,FALSE))</f>
        <v/>
      </c>
      <c r="K13" s="577" t="str">
        <f>IF(VLOOKUP($A13,'Pre-Assessment Estimator'!$A$10:$Z$225,K$2,FALSE)=0,"",VLOOKUP($A13,'Pre-Assessment Estimator'!$A$10:$Z$225,K$2,FALSE))</f>
        <v/>
      </c>
      <c r="L13" s="578" t="str">
        <f>IF(VLOOKUP($A13,'Pre-Assessment Estimator'!$A$10:$Z$225,L$2,FALSE)=0,"",VLOOKUP($A13,'Pre-Assessment Estimator'!$A$10:$Z$225,L$2,FALSE))</f>
        <v/>
      </c>
      <c r="M13" s="579"/>
      <c r="N13" s="580" t="str">
        <f>IF(VLOOKUP($A13,'Pre-Assessment Estimator'!$A$10:$Z$225,N$2,FALSE)=0,"",VLOOKUP($A13,'Pre-Assessment Estimator'!$A$10:$Z$225,N$2,FALSE))</f>
        <v/>
      </c>
      <c r="O13" s="575">
        <f>VLOOKUP($A13,'Pre-Assessment Estimator'!$A$10:$Z$225,O$2,FALSE)</f>
        <v>0</v>
      </c>
      <c r="P13" s="574" t="str">
        <f>VLOOKUP($A13,'Pre-Assessment Estimator'!$A$10:$Z$225,P$2,FALSE)</f>
        <v>Very Good</v>
      </c>
      <c r="Q13" s="577" t="str">
        <f>IF(VLOOKUP($A13,'Pre-Assessment Estimator'!$A$10:$Z$225,Q$2,FALSE)=0,"",VLOOKUP($A13,'Pre-Assessment Estimator'!$A$10:$Z$225,Q$2,FALSE))</f>
        <v/>
      </c>
      <c r="R13" s="577" t="str">
        <f>IF(VLOOKUP($A13,'Pre-Assessment Estimator'!$A$10:$Z$225,R$2,FALSE)=0,"",VLOOKUP($A13,'Pre-Assessment Estimator'!$A$10:$Z$225,R$2,FALSE))</f>
        <v/>
      </c>
      <c r="S13" s="578" t="str">
        <f>IF(VLOOKUP($A13,'Pre-Assessment Estimator'!$A$10:$Z$225,S$2,FALSE)=0,"",VLOOKUP($A13,'Pre-Assessment Estimator'!$A$10:$Z$225,S$2,FALSE))</f>
        <v/>
      </c>
      <c r="T13" s="581"/>
      <c r="U13" s="580" t="str">
        <f>IF(VLOOKUP($A13,'Pre-Assessment Estimator'!$A$10:$Z$225,U$2,FALSE)=0,"",VLOOKUP($A13,'Pre-Assessment Estimator'!$A$10:$Z$225,U$2,FALSE))</f>
        <v/>
      </c>
      <c r="V13" s="575">
        <f>VLOOKUP($A13,'Pre-Assessment Estimator'!$A$10:$Z$225,V$2,FALSE)</f>
        <v>0</v>
      </c>
      <c r="W13" s="574" t="str">
        <f>VLOOKUP($A13,'Pre-Assessment Estimator'!$A$10:$Z$225,W$2,FALSE)</f>
        <v>Very Good</v>
      </c>
      <c r="X13" s="577" t="str">
        <f>IF(VLOOKUP($A13,'Pre-Assessment Estimator'!$A$10:$Z$225,X$2,FALSE)=0,"",VLOOKUP($A13,'Pre-Assessment Estimator'!$A$10:$Z$225,X$2,FALSE))</f>
        <v/>
      </c>
      <c r="Y13" s="577" t="str">
        <f>IF(VLOOKUP($A13,'Pre-Assessment Estimator'!$A$10:$Z$225,Y$2,FALSE)=0,"",VLOOKUP($A13,'Pre-Assessment Estimator'!$A$10:$Z$225,Y$2,FALSE))</f>
        <v/>
      </c>
      <c r="Z13" s="370" t="str">
        <f>IF(VLOOKUP($A13,'Pre-Assessment Estimator'!$A$10:$Z$225,Z$2,FALSE)=0,"",VLOOKUP($A13,'Pre-Assessment Estimator'!$A$10:$Z$225,Z$2,FALSE))</f>
        <v/>
      </c>
      <c r="AA13" s="696">
        <v>4</v>
      </c>
      <c r="AB13" s="577" t="str">
        <f>IF(VLOOKUP($A13,'Pre-Assessment Estimator'!$A$10:$AB$225,AB$2,FALSE)=0,"",VLOOKUP($A13,'Pre-Assessment Estimator'!$A$10:$AB$225,AB$2,FALSE))</f>
        <v/>
      </c>
      <c r="AF13" s="386">
        <f>IF(F13="",1,IF(F13=0,2,1))</f>
        <v>1</v>
      </c>
      <c r="AL13" s="413"/>
    </row>
    <row r="14" spans="1:50" x14ac:dyDescent="0.25">
      <c r="A14" s="823">
        <v>5</v>
      </c>
      <c r="B14" s="1236" t="s">
        <v>63</v>
      </c>
      <c r="C14" s="1236"/>
      <c r="D14" s="1259" t="str">
        <f>VLOOKUP($A14,'Pre-Assessment Estimator'!$A$10:$Z$225,D$2,FALSE)</f>
        <v>Man 01</v>
      </c>
      <c r="E14" s="1260" t="str">
        <f>VLOOKUP($A14,'Pre-Assessment Estimator'!$A$10:$Z$225,E$2,FALSE)</f>
        <v>Third party stakeholder consultation</v>
      </c>
      <c r="F14" s="574">
        <f>VLOOKUP($A14,'Pre-Assessment Estimator'!$A$10:$Z$225,F$2,FALSE)</f>
        <v>1</v>
      </c>
      <c r="G14" s="580" t="str">
        <f>IF(VLOOKUP($A14,'Pre-Assessment Estimator'!$A$10:$Z$225,G$2,FALSE)=0,"",VLOOKUP($A14,'Pre-Assessment Estimator'!$A$10:$Z$225,G$2,FALSE))</f>
        <v/>
      </c>
      <c r="H14" s="575">
        <f>VLOOKUP($A14,'Pre-Assessment Estimator'!$A$10:$Z$225,H$2,FALSE)</f>
        <v>0</v>
      </c>
      <c r="I14" s="574" t="str">
        <f>VLOOKUP($A14,'Pre-Assessment Estimator'!$A$10:$Z$225,I$2,FALSE)</f>
        <v>N/A</v>
      </c>
      <c r="J14" s="577" t="str">
        <f>IF(VLOOKUP($A14,'Pre-Assessment Estimator'!$A$10:$Z$225,J$2,FALSE)=0,"",VLOOKUP($A14,'Pre-Assessment Estimator'!$A$10:$Z$225,J$2,FALSE))</f>
        <v/>
      </c>
      <c r="K14" s="577" t="str">
        <f>IF(VLOOKUP($A14,'Pre-Assessment Estimator'!$A$10:$Z$225,K$2,FALSE)=0,"",VLOOKUP($A14,'Pre-Assessment Estimator'!$A$10:$Z$225,K$2,FALSE))</f>
        <v/>
      </c>
      <c r="L14" s="578" t="str">
        <f>IF(VLOOKUP($A14,'Pre-Assessment Estimator'!$A$10:$Z$225,L$2,FALSE)=0,"",VLOOKUP($A14,'Pre-Assessment Estimator'!$A$10:$Z$225,L$2,FALSE))</f>
        <v/>
      </c>
      <c r="M14" s="579"/>
      <c r="N14" s="580" t="str">
        <f>IF(VLOOKUP($A14,'Pre-Assessment Estimator'!$A$10:$Z$225,N$2,FALSE)=0,"",VLOOKUP($A14,'Pre-Assessment Estimator'!$A$10:$Z$225,N$2,FALSE))</f>
        <v/>
      </c>
      <c r="O14" s="575">
        <f>VLOOKUP($A14,'Pre-Assessment Estimator'!$A$10:$Z$225,O$2,FALSE)</f>
        <v>0</v>
      </c>
      <c r="P14" s="574" t="str">
        <f>VLOOKUP($A14,'Pre-Assessment Estimator'!$A$10:$Z$225,P$2,FALSE)</f>
        <v>N/A</v>
      </c>
      <c r="Q14" s="577" t="str">
        <f>IF(VLOOKUP($A14,'Pre-Assessment Estimator'!$A$10:$Z$225,Q$2,FALSE)=0,"",VLOOKUP($A14,'Pre-Assessment Estimator'!$A$10:$Z$225,Q$2,FALSE))</f>
        <v/>
      </c>
      <c r="R14" s="577" t="str">
        <f>IF(VLOOKUP($A14,'Pre-Assessment Estimator'!$A$10:$Z$225,R$2,FALSE)=0,"",VLOOKUP($A14,'Pre-Assessment Estimator'!$A$10:$Z$225,R$2,FALSE))</f>
        <v/>
      </c>
      <c r="S14" s="578" t="str">
        <f>IF(VLOOKUP($A14,'Pre-Assessment Estimator'!$A$10:$Z$225,S$2,FALSE)=0,"",VLOOKUP($A14,'Pre-Assessment Estimator'!$A$10:$Z$225,S$2,FALSE))</f>
        <v/>
      </c>
      <c r="T14" s="581"/>
      <c r="U14" s="580" t="str">
        <f>IF(VLOOKUP($A14,'Pre-Assessment Estimator'!$A$10:$Z$225,U$2,FALSE)=0,"",VLOOKUP($A14,'Pre-Assessment Estimator'!$A$10:$Z$225,U$2,FALSE))</f>
        <v/>
      </c>
      <c r="V14" s="575">
        <f>VLOOKUP($A14,'Pre-Assessment Estimator'!$A$10:$Z$225,V$2,FALSE)</f>
        <v>0</v>
      </c>
      <c r="W14" s="574" t="str">
        <f>VLOOKUP($A14,'Pre-Assessment Estimator'!$A$10:$Z$225,W$2,FALSE)</f>
        <v>N/A</v>
      </c>
      <c r="X14" s="577" t="str">
        <f>IF(VLOOKUP($A14,'Pre-Assessment Estimator'!$A$10:$Z$225,X$2,FALSE)=0,"",VLOOKUP($A14,'Pre-Assessment Estimator'!$A$10:$Z$225,X$2,FALSE))</f>
        <v/>
      </c>
      <c r="Y14" s="577" t="str">
        <f>IF(VLOOKUP($A14,'Pre-Assessment Estimator'!$A$10:$Z$225,Y$2,FALSE)=0,"",VLOOKUP($A14,'Pre-Assessment Estimator'!$A$10:$Z$225,Y$2,FALSE))</f>
        <v/>
      </c>
      <c r="Z14" s="370" t="str">
        <f>IF(VLOOKUP($A14,'Pre-Assessment Estimator'!$A$10:$Z$225,Z$2,FALSE)=0,"",VLOOKUP($A14,'Pre-Assessment Estimator'!$A$10:$Z$225,Z$2,FALSE))</f>
        <v/>
      </c>
      <c r="AA14" s="696">
        <v>5</v>
      </c>
      <c r="AB14" s="577" t="str">
        <f>IF(VLOOKUP($A14,'Pre-Assessment Estimator'!$A$10:$AB$225,AB$2,FALSE)=0,"",VLOOKUP($A14,'Pre-Assessment Estimator'!$A$10:$AB$225,AB$2,FALSE))</f>
        <v/>
      </c>
      <c r="AF14" s="386">
        <f>IF(F14="",1,IF(F14=0,2,1))</f>
        <v>1</v>
      </c>
      <c r="AL14" s="413"/>
      <c r="AN14" s="412"/>
    </row>
    <row r="15" spans="1:50" x14ac:dyDescent="0.25">
      <c r="A15" s="823">
        <v>6</v>
      </c>
      <c r="B15" s="1236" t="s">
        <v>63</v>
      </c>
      <c r="C15" s="1236"/>
      <c r="D15" s="1259" t="str">
        <f>VLOOKUP($A15,'Pre-Assessment Estimator'!$A$10:$Z$225,D$2,FALSE)</f>
        <v>Man 01</v>
      </c>
      <c r="E15" s="1260" t="str">
        <f>VLOOKUP($A15,'Pre-Assessment Estimator'!$A$10:$Z$225,E$2,FALSE)</f>
        <v>BREEAM-NOR AP (stage 2 and 3)</v>
      </c>
      <c r="F15" s="574">
        <f>VLOOKUP($A15,'Pre-Assessment Estimator'!$A$10:$Z$225,F$2,FALSE)</f>
        <v>1</v>
      </c>
      <c r="G15" s="580" t="str">
        <f>IF(VLOOKUP($A15,'Pre-Assessment Estimator'!$A$10:$Z$225,G$2,FALSE)=0,"",VLOOKUP($A15,'Pre-Assessment Estimator'!$A$10:$Z$225,G$2,FALSE))</f>
        <v/>
      </c>
      <c r="H15" s="575">
        <f>VLOOKUP($A15,'Pre-Assessment Estimator'!$A$10:$Z$225,H$2,FALSE)</f>
        <v>0</v>
      </c>
      <c r="I15" s="574" t="str">
        <f>VLOOKUP($A15,'Pre-Assessment Estimator'!$A$10:$Z$225,I$2,FALSE)</f>
        <v>N/A</v>
      </c>
      <c r="J15" s="577" t="str">
        <f>IF(VLOOKUP($A15,'Pre-Assessment Estimator'!$A$10:$Z$225,J$2,FALSE)=0,"",VLOOKUP($A15,'Pre-Assessment Estimator'!$A$10:$Z$225,J$2,FALSE))</f>
        <v/>
      </c>
      <c r="K15" s="577" t="str">
        <f>IF(VLOOKUP($A15,'Pre-Assessment Estimator'!$A$10:$Z$225,K$2,FALSE)=0,"",VLOOKUP($A15,'Pre-Assessment Estimator'!$A$10:$Z$225,K$2,FALSE))</f>
        <v/>
      </c>
      <c r="L15" s="578" t="str">
        <f>IF(VLOOKUP($A15,'Pre-Assessment Estimator'!$A$10:$Z$225,L$2,FALSE)=0,"",VLOOKUP($A15,'Pre-Assessment Estimator'!$A$10:$Z$225,L$2,FALSE))</f>
        <v/>
      </c>
      <c r="M15" s="579"/>
      <c r="N15" s="580" t="str">
        <f>IF(VLOOKUP($A15,'Pre-Assessment Estimator'!$A$10:$Z$225,N$2,FALSE)=0,"",VLOOKUP($A15,'Pre-Assessment Estimator'!$A$10:$Z$225,N$2,FALSE))</f>
        <v/>
      </c>
      <c r="O15" s="575">
        <f>VLOOKUP($A15,'Pre-Assessment Estimator'!$A$10:$Z$225,O$2,FALSE)</f>
        <v>0</v>
      </c>
      <c r="P15" s="574" t="str">
        <f>VLOOKUP($A15,'Pre-Assessment Estimator'!$A$10:$Z$225,P$2,FALSE)</f>
        <v>N/A</v>
      </c>
      <c r="Q15" s="577" t="str">
        <f>IF(VLOOKUP($A15,'Pre-Assessment Estimator'!$A$10:$Z$225,Q$2,FALSE)=0,"",VLOOKUP($A15,'Pre-Assessment Estimator'!$A$10:$Z$225,Q$2,FALSE))</f>
        <v/>
      </c>
      <c r="R15" s="577" t="str">
        <f>IF(VLOOKUP($A15,'Pre-Assessment Estimator'!$A$10:$Z$225,R$2,FALSE)=0,"",VLOOKUP($A15,'Pre-Assessment Estimator'!$A$10:$Z$225,R$2,FALSE))</f>
        <v/>
      </c>
      <c r="S15" s="578" t="str">
        <f>IF(VLOOKUP($A15,'Pre-Assessment Estimator'!$A$10:$Z$225,S$2,FALSE)=0,"",VLOOKUP($A15,'Pre-Assessment Estimator'!$A$10:$Z$225,S$2,FALSE))</f>
        <v/>
      </c>
      <c r="T15" s="581"/>
      <c r="U15" s="580" t="str">
        <f>IF(VLOOKUP($A15,'Pre-Assessment Estimator'!$A$10:$Z$225,U$2,FALSE)=0,"",VLOOKUP($A15,'Pre-Assessment Estimator'!$A$10:$Z$225,U$2,FALSE))</f>
        <v/>
      </c>
      <c r="V15" s="575">
        <f>VLOOKUP($A15,'Pre-Assessment Estimator'!$A$10:$Z$225,V$2,FALSE)</f>
        <v>0</v>
      </c>
      <c r="W15" s="574" t="str">
        <f>VLOOKUP($A15,'Pre-Assessment Estimator'!$A$10:$Z$225,W$2,FALSE)</f>
        <v>N/A</v>
      </c>
      <c r="X15" s="577" t="str">
        <f>IF(VLOOKUP($A15,'Pre-Assessment Estimator'!$A$10:$Z$225,X$2,FALSE)=0,"",VLOOKUP($A15,'Pre-Assessment Estimator'!$A$10:$Z$225,X$2,FALSE))</f>
        <v/>
      </c>
      <c r="Y15" s="577" t="str">
        <f>IF(VLOOKUP($A15,'Pre-Assessment Estimator'!$A$10:$Z$225,Y$2,FALSE)=0,"",VLOOKUP($A15,'Pre-Assessment Estimator'!$A$10:$Z$225,Y$2,FALSE))</f>
        <v/>
      </c>
      <c r="Z15" s="370" t="str">
        <f>IF(VLOOKUP($A15,'Pre-Assessment Estimator'!$A$10:$Z$225,Z$2,FALSE)=0,"",VLOOKUP($A15,'Pre-Assessment Estimator'!$A$10:$Z$225,Z$2,FALSE))</f>
        <v/>
      </c>
      <c r="AA15" s="696">
        <v>6</v>
      </c>
      <c r="AB15" s="577" t="str">
        <f>IF(VLOOKUP($A15,'Pre-Assessment Estimator'!$A$10:$AB$225,AB$2,FALSE)=0,"",VLOOKUP($A15,'Pre-Assessment Estimator'!$A$10:$AB$225,AB$2,FALSE))</f>
        <v/>
      </c>
      <c r="AF15" s="386">
        <f>IF(F15="",1,IF(F15=0,2,1))</f>
        <v>1</v>
      </c>
      <c r="AG15" s="414"/>
      <c r="AL15" s="413"/>
    </row>
    <row r="16" spans="1:50" x14ac:dyDescent="0.25">
      <c r="A16" s="823">
        <v>7</v>
      </c>
      <c r="B16" s="1236" t="s">
        <v>63</v>
      </c>
      <c r="C16" s="1236"/>
      <c r="D16" s="1259" t="str">
        <f>VLOOKUP($A16,'Pre-Assessment Estimator'!$A$10:$Z$225,D$2,FALSE)</f>
        <v>Man 01</v>
      </c>
      <c r="E16" s="1260" t="str">
        <f>VLOOKUP($A16,'Pre-Assessment Estimator'!$A$10:$Z$225,E$2,FALSE)</f>
        <v>BREEAM-NOR AP (stage 4)</v>
      </c>
      <c r="F16" s="574">
        <f>VLOOKUP($A16,'Pre-Assessment Estimator'!$A$10:$Z$225,F$2,FALSE)</f>
        <v>1</v>
      </c>
      <c r="G16" s="580" t="str">
        <f>IF(VLOOKUP($A16,'Pre-Assessment Estimator'!$A$10:$Z$225,G$2,FALSE)=0,"",VLOOKUP($A16,'Pre-Assessment Estimator'!$A$10:$Z$225,G$2,FALSE))</f>
        <v/>
      </c>
      <c r="H16" s="575">
        <f>VLOOKUP($A16,'Pre-Assessment Estimator'!$A$10:$Z$225,H$2,FALSE)</f>
        <v>0</v>
      </c>
      <c r="I16" s="574" t="str">
        <f>VLOOKUP($A16,'Pre-Assessment Estimator'!$A$10:$Z$225,I$2,FALSE)</f>
        <v>N/A</v>
      </c>
      <c r="J16" s="577" t="str">
        <f>IF(VLOOKUP($A16,'Pre-Assessment Estimator'!$A$10:$Z$225,J$2,FALSE)=0,"",VLOOKUP($A16,'Pre-Assessment Estimator'!$A$10:$Z$225,J$2,FALSE))</f>
        <v/>
      </c>
      <c r="K16" s="577" t="str">
        <f>IF(VLOOKUP($A16,'Pre-Assessment Estimator'!$A$10:$Z$225,K$2,FALSE)=0,"",VLOOKUP($A16,'Pre-Assessment Estimator'!$A$10:$Z$225,K$2,FALSE))</f>
        <v/>
      </c>
      <c r="L16" s="578" t="str">
        <f>IF(VLOOKUP($A16,'Pre-Assessment Estimator'!$A$10:$Z$225,L$2,FALSE)=0,"",VLOOKUP($A16,'Pre-Assessment Estimator'!$A$10:$Z$225,L$2,FALSE))</f>
        <v/>
      </c>
      <c r="M16" s="579"/>
      <c r="N16" s="580" t="str">
        <f>IF(VLOOKUP($A16,'Pre-Assessment Estimator'!$A$10:$Z$225,N$2,FALSE)=0,"",VLOOKUP($A16,'Pre-Assessment Estimator'!$A$10:$Z$225,N$2,FALSE))</f>
        <v/>
      </c>
      <c r="O16" s="575">
        <f>VLOOKUP($A16,'Pre-Assessment Estimator'!$A$10:$Z$225,O$2,FALSE)</f>
        <v>0</v>
      </c>
      <c r="P16" s="574" t="str">
        <f>VLOOKUP($A16,'Pre-Assessment Estimator'!$A$10:$Z$225,P$2,FALSE)</f>
        <v>N/A</v>
      </c>
      <c r="Q16" s="577" t="str">
        <f>IF(VLOOKUP($A16,'Pre-Assessment Estimator'!$A$10:$Z$225,Q$2,FALSE)=0,"",VLOOKUP($A16,'Pre-Assessment Estimator'!$A$10:$Z$225,Q$2,FALSE))</f>
        <v/>
      </c>
      <c r="R16" s="577" t="str">
        <f>IF(VLOOKUP($A16,'Pre-Assessment Estimator'!$A$10:$Z$225,R$2,FALSE)=0,"",VLOOKUP($A16,'Pre-Assessment Estimator'!$A$10:$Z$225,R$2,FALSE))</f>
        <v/>
      </c>
      <c r="S16" s="578" t="str">
        <f>IF(VLOOKUP($A16,'Pre-Assessment Estimator'!$A$10:$Z$225,S$2,FALSE)=0,"",VLOOKUP($A16,'Pre-Assessment Estimator'!$A$10:$Z$225,S$2,FALSE))</f>
        <v/>
      </c>
      <c r="T16" s="581"/>
      <c r="U16" s="580" t="str">
        <f>IF(VLOOKUP($A16,'Pre-Assessment Estimator'!$A$10:$Z$225,U$2,FALSE)=0,"",VLOOKUP($A16,'Pre-Assessment Estimator'!$A$10:$Z$225,U$2,FALSE))</f>
        <v/>
      </c>
      <c r="V16" s="575">
        <f>VLOOKUP($A16,'Pre-Assessment Estimator'!$A$10:$Z$225,V$2,FALSE)</f>
        <v>0</v>
      </c>
      <c r="W16" s="574" t="str">
        <f>VLOOKUP($A16,'Pre-Assessment Estimator'!$A$10:$Z$225,W$2,FALSE)</f>
        <v>N/A</v>
      </c>
      <c r="X16" s="577" t="str">
        <f>IF(VLOOKUP($A16,'Pre-Assessment Estimator'!$A$10:$Z$225,X$2,FALSE)=0,"",VLOOKUP($A16,'Pre-Assessment Estimator'!$A$10:$Z$225,X$2,FALSE))</f>
        <v/>
      </c>
      <c r="Y16" s="577" t="str">
        <f>IF(VLOOKUP($A16,'Pre-Assessment Estimator'!$A$10:$Z$225,Y$2,FALSE)=0,"",VLOOKUP($A16,'Pre-Assessment Estimator'!$A$10:$Z$225,Y$2,FALSE))</f>
        <v/>
      </c>
      <c r="Z16" s="370" t="str">
        <f>IF(VLOOKUP($A16,'Pre-Assessment Estimator'!$A$10:$Z$225,Z$2,FALSE)=0,"",VLOOKUP($A16,'Pre-Assessment Estimator'!$A$10:$Z$225,Z$2,FALSE))</f>
        <v/>
      </c>
      <c r="AA16" s="696">
        <v>7</v>
      </c>
      <c r="AB16" s="577"/>
      <c r="AF16" s="386">
        <f t="shared" ref="AF16:AF81" si="0">IF(F16="",1,IF(F16=0,2,1))</f>
        <v>1</v>
      </c>
      <c r="AG16" s="414"/>
      <c r="AL16" s="413"/>
    </row>
    <row r="17" spans="1:38" x14ac:dyDescent="0.25">
      <c r="A17" s="823">
        <v>8</v>
      </c>
      <c r="B17" s="1236" t="s">
        <v>63</v>
      </c>
      <c r="C17" s="1236"/>
      <c r="D17" s="1258" t="str">
        <f>VLOOKUP($A17,'Pre-Assessment Estimator'!$A$10:$Z$225,D$2,FALSE)</f>
        <v>Man 02</v>
      </c>
      <c r="E17" s="1258" t="str">
        <f>VLOOKUP($A17,'Pre-Assessment Estimator'!$A$10:$Z$225,E$2,FALSE)</f>
        <v>Man 02 Life cycle cost and service life planning</v>
      </c>
      <c r="F17" s="574">
        <f>VLOOKUP($A17,'Pre-Assessment Estimator'!$A$10:$Z$225,F$2,FALSE)</f>
        <v>3</v>
      </c>
      <c r="G17" s="580" t="str">
        <f>IF(VLOOKUP($A17,'Pre-Assessment Estimator'!$A$10:$Z$225,G$2,FALSE)=0,"",VLOOKUP($A17,'Pre-Assessment Estimator'!$A$10:$Z$225,G$2,FALSE))</f>
        <v/>
      </c>
      <c r="H17" s="575" t="str">
        <f>VLOOKUP($A17,'Pre-Assessment Estimator'!$A$10:$Z$225,H$2,FALSE)</f>
        <v>0 c. 0 %</v>
      </c>
      <c r="I17" s="574" t="str">
        <f>VLOOKUP($A17,'Pre-Assessment Estimator'!$A$10:$Z$225,I$2,FALSE)</f>
        <v>N/A</v>
      </c>
      <c r="J17" s="577" t="str">
        <f>IF(VLOOKUP($A17,'Pre-Assessment Estimator'!$A$10:$Z$225,J$2,FALSE)=0,"",VLOOKUP($A17,'Pre-Assessment Estimator'!$A$10:$Z$225,J$2,FALSE))</f>
        <v/>
      </c>
      <c r="K17" s="577" t="str">
        <f>IF(VLOOKUP($A17,'Pre-Assessment Estimator'!$A$10:$Z$225,K$2,FALSE)=0,"",VLOOKUP($A17,'Pre-Assessment Estimator'!$A$10:$Z$225,K$2,FALSE))</f>
        <v/>
      </c>
      <c r="L17" s="578" t="str">
        <f>IF(VLOOKUP($A17,'Pre-Assessment Estimator'!$A$10:$Z$225,L$2,FALSE)=0,"",VLOOKUP($A17,'Pre-Assessment Estimator'!$A$10:$Z$225,L$2,FALSE))</f>
        <v/>
      </c>
      <c r="M17" s="579"/>
      <c r="N17" s="580" t="str">
        <f>IF(VLOOKUP($A17,'Pre-Assessment Estimator'!$A$10:$Z$225,N$2,FALSE)=0,"",VLOOKUP($A17,'Pre-Assessment Estimator'!$A$10:$Z$225,N$2,FALSE))</f>
        <v/>
      </c>
      <c r="O17" s="575" t="str">
        <f>VLOOKUP($A17,'Pre-Assessment Estimator'!$A$10:$Z$225,O$2,FALSE)</f>
        <v>0 c. 0 %</v>
      </c>
      <c r="P17" s="574" t="str">
        <f>VLOOKUP($A17,'Pre-Assessment Estimator'!$A$10:$Z$225,P$2,FALSE)</f>
        <v>N/A</v>
      </c>
      <c r="Q17" s="577" t="str">
        <f>IF(VLOOKUP($A17,'Pre-Assessment Estimator'!$A$10:$Z$225,Q$2,FALSE)=0,"",VLOOKUP($A17,'Pre-Assessment Estimator'!$A$10:$Z$225,Q$2,FALSE))</f>
        <v/>
      </c>
      <c r="R17" s="577" t="str">
        <f>IF(VLOOKUP($A17,'Pre-Assessment Estimator'!$A$10:$Z$225,R$2,FALSE)=0,"",VLOOKUP($A17,'Pre-Assessment Estimator'!$A$10:$Z$225,R$2,FALSE))</f>
        <v/>
      </c>
      <c r="S17" s="578" t="str">
        <f>IF(VLOOKUP($A17,'Pre-Assessment Estimator'!$A$10:$Z$225,S$2,FALSE)=0,"",VLOOKUP($A17,'Pre-Assessment Estimator'!$A$10:$Z$225,S$2,FALSE))</f>
        <v/>
      </c>
      <c r="T17" s="581"/>
      <c r="U17" s="580" t="str">
        <f>IF(VLOOKUP($A17,'Pre-Assessment Estimator'!$A$10:$Z$225,U$2,FALSE)=0,"",VLOOKUP($A17,'Pre-Assessment Estimator'!$A$10:$Z$225,U$2,FALSE))</f>
        <v/>
      </c>
      <c r="V17" s="575" t="str">
        <f>VLOOKUP($A17,'Pre-Assessment Estimator'!$A$10:$Z$225,V$2,FALSE)</f>
        <v>0 c. 0 %</v>
      </c>
      <c r="W17" s="574" t="str">
        <f>VLOOKUP($A17,'Pre-Assessment Estimator'!$A$10:$Z$225,W$2,FALSE)</f>
        <v>N/A</v>
      </c>
      <c r="X17" s="577" t="str">
        <f>IF(VLOOKUP($A17,'Pre-Assessment Estimator'!$A$10:$Z$225,X$2,FALSE)=0,"",VLOOKUP($A17,'Pre-Assessment Estimator'!$A$10:$Z$225,X$2,FALSE))</f>
        <v/>
      </c>
      <c r="Y17" s="577" t="str">
        <f>IF(VLOOKUP($A17,'Pre-Assessment Estimator'!$A$10:$Z$225,Y$2,FALSE)=0,"",VLOOKUP($A17,'Pre-Assessment Estimator'!$A$10:$Z$225,Y$2,FALSE))</f>
        <v/>
      </c>
      <c r="Z17" s="370" t="str">
        <f>IF(VLOOKUP($A17,'Pre-Assessment Estimator'!$A$10:$Z$225,Z$2,FALSE)=0,"",VLOOKUP($A17,'Pre-Assessment Estimator'!$A$10:$Z$225,Z$2,FALSE))</f>
        <v/>
      </c>
      <c r="AA17" s="696">
        <v>8</v>
      </c>
      <c r="AB17" s="577"/>
      <c r="AF17" s="386">
        <f t="shared" si="0"/>
        <v>1</v>
      </c>
      <c r="AG17" s="414"/>
      <c r="AL17" s="413"/>
    </row>
    <row r="18" spans="1:38" x14ac:dyDescent="0.25">
      <c r="A18" s="823">
        <v>9</v>
      </c>
      <c r="B18" s="1236" t="s">
        <v>63</v>
      </c>
      <c r="C18" s="1236"/>
      <c r="D18" s="1259" t="str">
        <f>VLOOKUP($A18,'Pre-Assessment Estimator'!$A$10:$Z$225,D$2,FALSE)</f>
        <v>Man 02</v>
      </c>
      <c r="E18" s="1260" t="str">
        <f>VLOOKUP($A18,'Pre-Assessment Estimator'!$A$10:$Z$225,E$2,FALSE)</f>
        <v>Elemental life cycle cost (LCC) and capital cost reporting</v>
      </c>
      <c r="F18" s="574">
        <f>VLOOKUP($A18,'Pre-Assessment Estimator'!$A$10:$Z$225,F$2,FALSE)</f>
        <v>2</v>
      </c>
      <c r="G18" s="580" t="str">
        <f>IF(VLOOKUP($A18,'Pre-Assessment Estimator'!$A$10:$Z$225,G$2,FALSE)=0,"",VLOOKUP($A18,'Pre-Assessment Estimator'!$A$10:$Z$225,G$2,FALSE))</f>
        <v/>
      </c>
      <c r="H18" s="575">
        <f>VLOOKUP($A18,'Pre-Assessment Estimator'!$A$10:$Z$225,H$2,FALSE)</f>
        <v>0</v>
      </c>
      <c r="I18" s="574" t="str">
        <f>VLOOKUP($A18,'Pre-Assessment Estimator'!$A$10:$Z$225,I$2,FALSE)</f>
        <v>N/A</v>
      </c>
      <c r="J18" s="577" t="str">
        <f>IF(VLOOKUP($A18,'Pre-Assessment Estimator'!$A$10:$Z$225,J$2,FALSE)=0,"",VLOOKUP($A18,'Pre-Assessment Estimator'!$A$10:$Z$225,J$2,FALSE))</f>
        <v/>
      </c>
      <c r="K18" s="577" t="str">
        <f>IF(VLOOKUP($A18,'Pre-Assessment Estimator'!$A$10:$Z$225,K$2,FALSE)=0,"",VLOOKUP($A18,'Pre-Assessment Estimator'!$A$10:$Z$225,K$2,FALSE))</f>
        <v/>
      </c>
      <c r="L18" s="578" t="str">
        <f>IF(VLOOKUP($A18,'Pre-Assessment Estimator'!$A$10:$Z$225,L$2,FALSE)=0,"",VLOOKUP($A18,'Pre-Assessment Estimator'!$A$10:$Z$225,L$2,FALSE))</f>
        <v/>
      </c>
      <c r="M18" s="579"/>
      <c r="N18" s="580" t="str">
        <f>IF(VLOOKUP($A18,'Pre-Assessment Estimator'!$A$10:$Z$225,N$2,FALSE)=0,"",VLOOKUP($A18,'Pre-Assessment Estimator'!$A$10:$Z$225,N$2,FALSE))</f>
        <v/>
      </c>
      <c r="O18" s="575">
        <f>VLOOKUP($A18,'Pre-Assessment Estimator'!$A$10:$Z$225,O$2,FALSE)</f>
        <v>0</v>
      </c>
      <c r="P18" s="574" t="str">
        <f>VLOOKUP($A18,'Pre-Assessment Estimator'!$A$10:$Z$225,P$2,FALSE)</f>
        <v>N/A</v>
      </c>
      <c r="Q18" s="577" t="str">
        <f>IF(VLOOKUP($A18,'Pre-Assessment Estimator'!$A$10:$Z$225,Q$2,FALSE)=0,"",VLOOKUP($A18,'Pre-Assessment Estimator'!$A$10:$Z$225,Q$2,FALSE))</f>
        <v/>
      </c>
      <c r="R18" s="577" t="str">
        <f>IF(VLOOKUP($A18,'Pre-Assessment Estimator'!$A$10:$Z$225,R$2,FALSE)=0,"",VLOOKUP($A18,'Pre-Assessment Estimator'!$A$10:$Z$225,R$2,FALSE))</f>
        <v/>
      </c>
      <c r="S18" s="578" t="str">
        <f>IF(VLOOKUP($A18,'Pre-Assessment Estimator'!$A$10:$Z$225,S$2,FALSE)=0,"",VLOOKUP($A18,'Pre-Assessment Estimator'!$A$10:$Z$225,S$2,FALSE))</f>
        <v/>
      </c>
      <c r="T18" s="581"/>
      <c r="U18" s="580" t="str">
        <f>IF(VLOOKUP($A18,'Pre-Assessment Estimator'!$A$10:$Z$225,U$2,FALSE)=0,"",VLOOKUP($A18,'Pre-Assessment Estimator'!$A$10:$Z$225,U$2,FALSE))</f>
        <v/>
      </c>
      <c r="V18" s="575">
        <f>VLOOKUP($A18,'Pre-Assessment Estimator'!$A$10:$Z$225,V$2,FALSE)</f>
        <v>0</v>
      </c>
      <c r="W18" s="574" t="str">
        <f>VLOOKUP($A18,'Pre-Assessment Estimator'!$A$10:$Z$225,W$2,FALSE)</f>
        <v>N/A</v>
      </c>
      <c r="X18" s="577" t="str">
        <f>IF(VLOOKUP($A18,'Pre-Assessment Estimator'!$A$10:$Z$225,X$2,FALSE)=0,"",VLOOKUP($A18,'Pre-Assessment Estimator'!$A$10:$Z$225,X$2,FALSE))</f>
        <v/>
      </c>
      <c r="Y18" s="577" t="str">
        <f>IF(VLOOKUP($A18,'Pre-Assessment Estimator'!$A$10:$Z$225,Y$2,FALSE)=0,"",VLOOKUP($A18,'Pre-Assessment Estimator'!$A$10:$Z$225,Y$2,FALSE))</f>
        <v/>
      </c>
      <c r="Z18" s="370" t="str">
        <f>IF(VLOOKUP($A18,'Pre-Assessment Estimator'!$A$10:$Z$225,Z$2,FALSE)=0,"",VLOOKUP($A18,'Pre-Assessment Estimator'!$A$10:$Z$225,Z$2,FALSE))</f>
        <v/>
      </c>
      <c r="AA18" s="696">
        <v>9</v>
      </c>
      <c r="AB18" s="577"/>
      <c r="AF18" s="386">
        <f t="shared" si="0"/>
        <v>1</v>
      </c>
      <c r="AG18" s="414"/>
      <c r="AL18" s="413"/>
    </row>
    <row r="19" spans="1:38" x14ac:dyDescent="0.25">
      <c r="A19" s="823">
        <v>10</v>
      </c>
      <c r="B19" s="1236" t="s">
        <v>63</v>
      </c>
      <c r="C19" s="1236"/>
      <c r="D19" s="1259" t="str">
        <f>VLOOKUP($A19,'Pre-Assessment Estimator'!$A$10:$Z$225,D$2,FALSE)</f>
        <v>Man 02</v>
      </c>
      <c r="E19" s="1260" t="str">
        <f>VLOOKUP($A19,'Pre-Assessment Estimator'!$A$10:$Z$225,E$2,FALSE)</f>
        <v>Component level life option appraisal</v>
      </c>
      <c r="F19" s="574">
        <f>VLOOKUP($A19,'Pre-Assessment Estimator'!$A$10:$Z$225,F$2,FALSE)</f>
        <v>1</v>
      </c>
      <c r="G19" s="580" t="str">
        <f>IF(VLOOKUP($A19,'Pre-Assessment Estimator'!$A$10:$Z$225,G$2,FALSE)=0,"",VLOOKUP($A19,'Pre-Assessment Estimator'!$A$10:$Z$225,G$2,FALSE))</f>
        <v/>
      </c>
      <c r="H19" s="575">
        <f>VLOOKUP($A19,'Pre-Assessment Estimator'!$A$10:$Z$225,H$2,FALSE)</f>
        <v>0</v>
      </c>
      <c r="I19" s="574" t="str">
        <f>VLOOKUP($A19,'Pre-Assessment Estimator'!$A$10:$Z$225,I$2,FALSE)</f>
        <v>N/A</v>
      </c>
      <c r="J19" s="577" t="str">
        <f>IF(VLOOKUP($A19,'Pre-Assessment Estimator'!$A$10:$Z$225,J$2,FALSE)=0,"",VLOOKUP($A19,'Pre-Assessment Estimator'!$A$10:$Z$225,J$2,FALSE))</f>
        <v/>
      </c>
      <c r="K19" s="577" t="str">
        <f>IF(VLOOKUP($A19,'Pre-Assessment Estimator'!$A$10:$Z$225,K$2,FALSE)=0,"",VLOOKUP($A19,'Pre-Assessment Estimator'!$A$10:$Z$225,K$2,FALSE))</f>
        <v/>
      </c>
      <c r="L19" s="578" t="str">
        <f>IF(VLOOKUP($A19,'Pre-Assessment Estimator'!$A$10:$Z$225,L$2,FALSE)=0,"",VLOOKUP($A19,'Pre-Assessment Estimator'!$A$10:$Z$225,L$2,FALSE))</f>
        <v/>
      </c>
      <c r="M19" s="579"/>
      <c r="N19" s="580" t="str">
        <f>IF(VLOOKUP($A19,'Pre-Assessment Estimator'!$A$10:$Z$225,N$2,FALSE)=0,"",VLOOKUP($A19,'Pre-Assessment Estimator'!$A$10:$Z$225,N$2,FALSE))</f>
        <v/>
      </c>
      <c r="O19" s="575">
        <f>VLOOKUP($A19,'Pre-Assessment Estimator'!$A$10:$Z$225,O$2,FALSE)</f>
        <v>0</v>
      </c>
      <c r="P19" s="574" t="str">
        <f>VLOOKUP($A19,'Pre-Assessment Estimator'!$A$10:$Z$225,P$2,FALSE)</f>
        <v>N/A</v>
      </c>
      <c r="Q19" s="577" t="str">
        <f>IF(VLOOKUP($A19,'Pre-Assessment Estimator'!$A$10:$Z$225,Q$2,FALSE)=0,"",VLOOKUP($A19,'Pre-Assessment Estimator'!$A$10:$Z$225,Q$2,FALSE))</f>
        <v/>
      </c>
      <c r="R19" s="577" t="str">
        <f>IF(VLOOKUP($A19,'Pre-Assessment Estimator'!$A$10:$Z$225,R$2,FALSE)=0,"",VLOOKUP($A19,'Pre-Assessment Estimator'!$A$10:$Z$225,R$2,FALSE))</f>
        <v/>
      </c>
      <c r="S19" s="578" t="str">
        <f>IF(VLOOKUP($A19,'Pre-Assessment Estimator'!$A$10:$Z$225,S$2,FALSE)=0,"",VLOOKUP($A19,'Pre-Assessment Estimator'!$A$10:$Z$225,S$2,FALSE))</f>
        <v/>
      </c>
      <c r="T19" s="581"/>
      <c r="U19" s="580" t="str">
        <f>IF(VLOOKUP($A19,'Pre-Assessment Estimator'!$A$10:$Z$225,U$2,FALSE)=0,"",VLOOKUP($A19,'Pre-Assessment Estimator'!$A$10:$Z$225,U$2,FALSE))</f>
        <v/>
      </c>
      <c r="V19" s="575">
        <f>VLOOKUP($A19,'Pre-Assessment Estimator'!$A$10:$Z$225,V$2,FALSE)</f>
        <v>0</v>
      </c>
      <c r="W19" s="574" t="str">
        <f>VLOOKUP($A19,'Pre-Assessment Estimator'!$A$10:$Z$225,W$2,FALSE)</f>
        <v>N/A</v>
      </c>
      <c r="X19" s="577" t="str">
        <f>IF(VLOOKUP($A19,'Pre-Assessment Estimator'!$A$10:$Z$225,X$2,FALSE)=0,"",VLOOKUP($A19,'Pre-Assessment Estimator'!$A$10:$Z$225,X$2,FALSE))</f>
        <v/>
      </c>
      <c r="Y19" s="577" t="str">
        <f>IF(VLOOKUP($A19,'Pre-Assessment Estimator'!$A$10:$Z$225,Y$2,FALSE)=0,"",VLOOKUP($A19,'Pre-Assessment Estimator'!$A$10:$Z$225,Y$2,FALSE))</f>
        <v/>
      </c>
      <c r="Z19" s="370" t="str">
        <f>IF(VLOOKUP($A19,'Pre-Assessment Estimator'!$A$10:$Z$225,Z$2,FALSE)=0,"",VLOOKUP($A19,'Pre-Assessment Estimator'!$A$10:$Z$225,Z$2,FALSE))</f>
        <v/>
      </c>
      <c r="AA19" s="696">
        <v>10</v>
      </c>
      <c r="AB19" s="577"/>
      <c r="AF19" s="386">
        <f t="shared" si="0"/>
        <v>1</v>
      </c>
      <c r="AG19" s="414"/>
      <c r="AL19" s="413"/>
    </row>
    <row r="20" spans="1:38" x14ac:dyDescent="0.25">
      <c r="A20" s="823">
        <v>11</v>
      </c>
      <c r="B20" s="1236" t="s">
        <v>63</v>
      </c>
      <c r="C20" s="1236"/>
      <c r="D20" s="1258" t="str">
        <f>VLOOKUP($A20,'Pre-Assessment Estimator'!$A$10:$Z$225,D$2,FALSE)</f>
        <v>Man 03</v>
      </c>
      <c r="E20" s="1258" t="str">
        <f>VLOOKUP($A20,'Pre-Assessment Estimator'!$A$10:$Z$225,E$2,FALSE)</f>
        <v>Man 03 Responsible construction practices</v>
      </c>
      <c r="F20" s="574">
        <f>VLOOKUP($A20,'Pre-Assessment Estimator'!$A$10:$Z$225,F$2,FALSE)</f>
        <v>7</v>
      </c>
      <c r="G20" s="580" t="str">
        <f>IF(VLOOKUP($A20,'Pre-Assessment Estimator'!$A$10:$Z$225,G$2,FALSE)=0,"",VLOOKUP($A20,'Pre-Assessment Estimator'!$A$10:$Z$225,G$2,FALSE))</f>
        <v/>
      </c>
      <c r="H20" s="575" t="str">
        <f>VLOOKUP($A20,'Pre-Assessment Estimator'!$A$10:$Z$225,H$2,FALSE)</f>
        <v>0 c. 0 %</v>
      </c>
      <c r="I20" s="574" t="str">
        <f>VLOOKUP($A20,'Pre-Assessment Estimator'!$A$10:$Z$225,I$2,FALSE)</f>
        <v>N/A</v>
      </c>
      <c r="J20" s="577" t="str">
        <f>IF(VLOOKUP($A20,'Pre-Assessment Estimator'!$A$10:$Z$225,J$2,FALSE)=0,"",VLOOKUP($A20,'Pre-Assessment Estimator'!$A$10:$Z$225,J$2,FALSE))</f>
        <v/>
      </c>
      <c r="K20" s="577" t="str">
        <f>IF(VLOOKUP($A20,'Pre-Assessment Estimator'!$A$10:$Z$225,K$2,FALSE)=0,"",VLOOKUP($A20,'Pre-Assessment Estimator'!$A$10:$Z$225,K$2,FALSE))</f>
        <v/>
      </c>
      <c r="L20" s="578" t="str">
        <f>IF(VLOOKUP($A20,'Pre-Assessment Estimator'!$A$10:$Z$225,L$2,FALSE)=0,"",VLOOKUP($A20,'Pre-Assessment Estimator'!$A$10:$Z$225,L$2,FALSE))</f>
        <v/>
      </c>
      <c r="M20" s="579"/>
      <c r="N20" s="580" t="str">
        <f>IF(VLOOKUP($A20,'Pre-Assessment Estimator'!$A$10:$Z$225,N$2,FALSE)=0,"",VLOOKUP($A20,'Pre-Assessment Estimator'!$A$10:$Z$225,N$2,FALSE))</f>
        <v/>
      </c>
      <c r="O20" s="575" t="str">
        <f>VLOOKUP($A20,'Pre-Assessment Estimator'!$A$10:$Z$225,O$2,FALSE)</f>
        <v>0 c. 0 %</v>
      </c>
      <c r="P20" s="574" t="str">
        <f>VLOOKUP($A20,'Pre-Assessment Estimator'!$A$10:$Z$225,P$2,FALSE)</f>
        <v>N/A</v>
      </c>
      <c r="Q20" s="577" t="str">
        <f>IF(VLOOKUP($A20,'Pre-Assessment Estimator'!$A$10:$Z$225,Q$2,FALSE)=0,"",VLOOKUP($A20,'Pre-Assessment Estimator'!$A$10:$Z$225,Q$2,FALSE))</f>
        <v/>
      </c>
      <c r="R20" s="577" t="str">
        <f>IF(VLOOKUP($A20,'Pre-Assessment Estimator'!$A$10:$Z$225,R$2,FALSE)=0,"",VLOOKUP($A20,'Pre-Assessment Estimator'!$A$10:$Z$225,R$2,FALSE))</f>
        <v/>
      </c>
      <c r="S20" s="578" t="str">
        <f>IF(VLOOKUP($A20,'Pre-Assessment Estimator'!$A$10:$Z$225,S$2,FALSE)=0,"",VLOOKUP($A20,'Pre-Assessment Estimator'!$A$10:$Z$225,S$2,FALSE))</f>
        <v/>
      </c>
      <c r="T20" s="581"/>
      <c r="U20" s="580" t="str">
        <f>IF(VLOOKUP($A20,'Pre-Assessment Estimator'!$A$10:$Z$225,U$2,FALSE)=0,"",VLOOKUP($A20,'Pre-Assessment Estimator'!$A$10:$Z$225,U$2,FALSE))</f>
        <v/>
      </c>
      <c r="V20" s="575" t="str">
        <f>VLOOKUP($A20,'Pre-Assessment Estimator'!$A$10:$Z$225,V$2,FALSE)</f>
        <v>0 c. 0 %</v>
      </c>
      <c r="W20" s="574" t="str">
        <f>VLOOKUP($A20,'Pre-Assessment Estimator'!$A$10:$Z$225,W$2,FALSE)</f>
        <v>N/A</v>
      </c>
      <c r="X20" s="577" t="str">
        <f>IF(VLOOKUP($A20,'Pre-Assessment Estimator'!$A$10:$Z$225,X$2,FALSE)=0,"",VLOOKUP($A20,'Pre-Assessment Estimator'!$A$10:$Z$225,X$2,FALSE))</f>
        <v/>
      </c>
      <c r="Y20" s="577" t="str">
        <f>IF(VLOOKUP($A20,'Pre-Assessment Estimator'!$A$10:$Z$225,Y$2,FALSE)=0,"",VLOOKUP($A20,'Pre-Assessment Estimator'!$A$10:$Z$225,Y$2,FALSE))</f>
        <v/>
      </c>
      <c r="Z20" s="370" t="str">
        <f>IF(VLOOKUP($A20,'Pre-Assessment Estimator'!$A$10:$Z$225,Z$2,FALSE)=0,"",VLOOKUP($A20,'Pre-Assessment Estimator'!$A$10:$Z$225,Z$2,FALSE))</f>
        <v/>
      </c>
      <c r="AA20" s="696">
        <v>11</v>
      </c>
      <c r="AB20" s="577"/>
      <c r="AF20" s="386">
        <f t="shared" si="0"/>
        <v>1</v>
      </c>
      <c r="AG20" s="414"/>
      <c r="AL20" s="413"/>
    </row>
    <row r="21" spans="1:38" x14ac:dyDescent="0.25">
      <c r="A21" s="823">
        <v>12</v>
      </c>
      <c r="B21" s="1236" t="s">
        <v>63</v>
      </c>
      <c r="C21" s="1236"/>
      <c r="D21" s="1259" t="str">
        <f>VLOOKUP($A21,'Pre-Assessment Estimator'!$A$10:$Z$225,D$2,FALSE)</f>
        <v>Man 03</v>
      </c>
      <c r="E21" s="1260" t="str">
        <f>VLOOKUP($A21,'Pre-Assessment Estimator'!$A$10:$Z$225,E$2,FALSE)</f>
        <v>Environmental managment</v>
      </c>
      <c r="F21" s="574">
        <f>VLOOKUP($A21,'Pre-Assessment Estimator'!$A$10:$Z$225,F$2,FALSE)</f>
        <v>1</v>
      </c>
      <c r="G21" s="580" t="str">
        <f>IF(VLOOKUP($A21,'Pre-Assessment Estimator'!$A$10:$Z$225,G$2,FALSE)=0,"",VLOOKUP($A21,'Pre-Assessment Estimator'!$A$10:$Z$225,G$2,FALSE))</f>
        <v/>
      </c>
      <c r="H21" s="575">
        <f>VLOOKUP($A21,'Pre-Assessment Estimator'!$A$10:$Z$225,H$2,FALSE)</f>
        <v>0</v>
      </c>
      <c r="I21" s="574" t="str">
        <f>VLOOKUP($A21,'Pre-Assessment Estimator'!$A$10:$Z$225,I$2,FALSE)</f>
        <v>N/A</v>
      </c>
      <c r="J21" s="577" t="str">
        <f>IF(VLOOKUP($A21,'Pre-Assessment Estimator'!$A$10:$Z$225,J$2,FALSE)=0,"",VLOOKUP($A21,'Pre-Assessment Estimator'!$A$10:$Z$225,J$2,FALSE))</f>
        <v/>
      </c>
      <c r="K21" s="577" t="str">
        <f>IF(VLOOKUP($A21,'Pre-Assessment Estimator'!$A$10:$Z$225,K$2,FALSE)=0,"",VLOOKUP($A21,'Pre-Assessment Estimator'!$A$10:$Z$225,K$2,FALSE))</f>
        <v/>
      </c>
      <c r="L21" s="578" t="str">
        <f>IF(VLOOKUP($A21,'Pre-Assessment Estimator'!$A$10:$Z$225,L$2,FALSE)=0,"",VLOOKUP($A21,'Pre-Assessment Estimator'!$A$10:$Z$225,L$2,FALSE))</f>
        <v/>
      </c>
      <c r="M21" s="579"/>
      <c r="N21" s="580" t="str">
        <f>IF(VLOOKUP($A21,'Pre-Assessment Estimator'!$A$10:$Z$225,N$2,FALSE)=0,"",VLOOKUP($A21,'Pre-Assessment Estimator'!$A$10:$Z$225,N$2,FALSE))</f>
        <v/>
      </c>
      <c r="O21" s="575">
        <f>VLOOKUP($A21,'Pre-Assessment Estimator'!$A$10:$Z$225,O$2,FALSE)</f>
        <v>0</v>
      </c>
      <c r="P21" s="574" t="str">
        <f>VLOOKUP($A21,'Pre-Assessment Estimator'!$A$10:$Z$225,P$2,FALSE)</f>
        <v>N/A</v>
      </c>
      <c r="Q21" s="577" t="str">
        <f>IF(VLOOKUP($A21,'Pre-Assessment Estimator'!$A$10:$Z$225,Q$2,FALSE)=0,"",VLOOKUP($A21,'Pre-Assessment Estimator'!$A$10:$Z$225,Q$2,FALSE))</f>
        <v/>
      </c>
      <c r="R21" s="577" t="str">
        <f>IF(VLOOKUP($A21,'Pre-Assessment Estimator'!$A$10:$Z$225,R$2,FALSE)=0,"",VLOOKUP($A21,'Pre-Assessment Estimator'!$A$10:$Z$225,R$2,FALSE))</f>
        <v/>
      </c>
      <c r="S21" s="578" t="str">
        <f>IF(VLOOKUP($A21,'Pre-Assessment Estimator'!$A$10:$Z$225,S$2,FALSE)=0,"",VLOOKUP($A21,'Pre-Assessment Estimator'!$A$10:$Z$225,S$2,FALSE))</f>
        <v/>
      </c>
      <c r="T21" s="581"/>
      <c r="U21" s="580" t="str">
        <f>IF(VLOOKUP($A21,'Pre-Assessment Estimator'!$A$10:$Z$225,U$2,FALSE)=0,"",VLOOKUP($A21,'Pre-Assessment Estimator'!$A$10:$Z$225,U$2,FALSE))</f>
        <v/>
      </c>
      <c r="V21" s="575">
        <f>VLOOKUP($A21,'Pre-Assessment Estimator'!$A$10:$Z$225,V$2,FALSE)</f>
        <v>0</v>
      </c>
      <c r="W21" s="574" t="str">
        <f>VLOOKUP($A21,'Pre-Assessment Estimator'!$A$10:$Z$225,W$2,FALSE)</f>
        <v>N/A</v>
      </c>
      <c r="X21" s="577" t="str">
        <f>IF(VLOOKUP($A21,'Pre-Assessment Estimator'!$A$10:$Z$225,X$2,FALSE)=0,"",VLOOKUP($A21,'Pre-Assessment Estimator'!$A$10:$Z$225,X$2,FALSE))</f>
        <v/>
      </c>
      <c r="Y21" s="577" t="str">
        <f>IF(VLOOKUP($A21,'Pre-Assessment Estimator'!$A$10:$Z$225,Y$2,FALSE)=0,"",VLOOKUP($A21,'Pre-Assessment Estimator'!$A$10:$Z$225,Y$2,FALSE))</f>
        <v/>
      </c>
      <c r="Z21" s="370" t="str">
        <f>IF(VLOOKUP($A21,'Pre-Assessment Estimator'!$A$10:$Z$225,Z$2,FALSE)=0,"",VLOOKUP($A21,'Pre-Assessment Estimator'!$A$10:$Z$225,Z$2,FALSE))</f>
        <v/>
      </c>
      <c r="AA21" s="696">
        <v>12</v>
      </c>
      <c r="AB21" s="577"/>
      <c r="AF21" s="386">
        <f t="shared" si="0"/>
        <v>1</v>
      </c>
      <c r="AG21" s="414"/>
      <c r="AL21" s="413"/>
    </row>
    <row r="22" spans="1:38" x14ac:dyDescent="0.25">
      <c r="A22" s="823">
        <v>13</v>
      </c>
      <c r="B22" s="1236" t="s">
        <v>63</v>
      </c>
      <c r="C22" s="1236"/>
      <c r="D22" s="1259" t="str">
        <f>VLOOKUP($A22,'Pre-Assessment Estimator'!$A$10:$Z$225,D$2,FALSE)</f>
        <v>Man 03</v>
      </c>
      <c r="E22" s="1260" t="str">
        <f>VLOOKUP($A22,'Pre-Assessment Estimator'!$A$10:$Z$225,E$2,FALSE)</f>
        <v>BREEAM-NOR AP and BREEAM performance targets (stage 5 and 6)</v>
      </c>
      <c r="F22" s="574">
        <f>VLOOKUP($A22,'Pre-Assessment Estimator'!$A$10:$Z$225,F$2,FALSE)</f>
        <v>1</v>
      </c>
      <c r="G22" s="580" t="str">
        <f>IF(VLOOKUP($A22,'Pre-Assessment Estimator'!$A$10:$Z$225,G$2,FALSE)=0,"",VLOOKUP($A22,'Pre-Assessment Estimator'!$A$10:$Z$225,G$2,FALSE))</f>
        <v/>
      </c>
      <c r="H22" s="575">
        <f>VLOOKUP($A22,'Pre-Assessment Estimator'!$A$10:$Z$225,H$2,FALSE)</f>
        <v>0</v>
      </c>
      <c r="I22" s="574" t="str">
        <f>VLOOKUP($A22,'Pre-Assessment Estimator'!$A$10:$Z$225,I$2,FALSE)</f>
        <v>N/A</v>
      </c>
      <c r="J22" s="577" t="str">
        <f>IF(VLOOKUP($A22,'Pre-Assessment Estimator'!$A$10:$Z$225,J$2,FALSE)=0,"",VLOOKUP($A22,'Pre-Assessment Estimator'!$A$10:$Z$225,J$2,FALSE))</f>
        <v/>
      </c>
      <c r="K22" s="577" t="str">
        <f>IF(VLOOKUP($A22,'Pre-Assessment Estimator'!$A$10:$Z$225,K$2,FALSE)=0,"",VLOOKUP($A22,'Pre-Assessment Estimator'!$A$10:$Z$225,K$2,FALSE))</f>
        <v/>
      </c>
      <c r="L22" s="578" t="str">
        <f>IF(VLOOKUP($A22,'Pre-Assessment Estimator'!$A$10:$Z$225,L$2,FALSE)=0,"",VLOOKUP($A22,'Pre-Assessment Estimator'!$A$10:$Z$225,L$2,FALSE))</f>
        <v/>
      </c>
      <c r="M22" s="579"/>
      <c r="N22" s="580" t="str">
        <f>IF(VLOOKUP($A22,'Pre-Assessment Estimator'!$A$10:$Z$225,N$2,FALSE)=0,"",VLOOKUP($A22,'Pre-Assessment Estimator'!$A$10:$Z$225,N$2,FALSE))</f>
        <v/>
      </c>
      <c r="O22" s="575">
        <f>VLOOKUP($A22,'Pre-Assessment Estimator'!$A$10:$Z$225,O$2,FALSE)</f>
        <v>0</v>
      </c>
      <c r="P22" s="574" t="str">
        <f>VLOOKUP($A22,'Pre-Assessment Estimator'!$A$10:$Z$225,P$2,FALSE)</f>
        <v>N/A</v>
      </c>
      <c r="Q22" s="577" t="str">
        <f>IF(VLOOKUP($A22,'Pre-Assessment Estimator'!$A$10:$Z$225,Q$2,FALSE)=0,"",VLOOKUP($A22,'Pre-Assessment Estimator'!$A$10:$Z$225,Q$2,FALSE))</f>
        <v/>
      </c>
      <c r="R22" s="577" t="str">
        <f>IF(VLOOKUP($A22,'Pre-Assessment Estimator'!$A$10:$Z$225,R$2,FALSE)=0,"",VLOOKUP($A22,'Pre-Assessment Estimator'!$A$10:$Z$225,R$2,FALSE))</f>
        <v/>
      </c>
      <c r="S22" s="578" t="str">
        <f>IF(VLOOKUP($A22,'Pre-Assessment Estimator'!$A$10:$Z$225,S$2,FALSE)=0,"",VLOOKUP($A22,'Pre-Assessment Estimator'!$A$10:$Z$225,S$2,FALSE))</f>
        <v/>
      </c>
      <c r="T22" s="581"/>
      <c r="U22" s="580" t="str">
        <f>IF(VLOOKUP($A22,'Pre-Assessment Estimator'!$A$10:$Z$225,U$2,FALSE)=0,"",VLOOKUP($A22,'Pre-Assessment Estimator'!$A$10:$Z$225,U$2,FALSE))</f>
        <v/>
      </c>
      <c r="V22" s="575">
        <f>VLOOKUP($A22,'Pre-Assessment Estimator'!$A$10:$Z$225,V$2,FALSE)</f>
        <v>0</v>
      </c>
      <c r="W22" s="574" t="str">
        <f>VLOOKUP($A22,'Pre-Assessment Estimator'!$A$10:$Z$225,W$2,FALSE)</f>
        <v>N/A</v>
      </c>
      <c r="X22" s="577" t="str">
        <f>IF(VLOOKUP($A22,'Pre-Assessment Estimator'!$A$10:$Z$225,X$2,FALSE)=0,"",VLOOKUP($A22,'Pre-Assessment Estimator'!$A$10:$Z$225,X$2,FALSE))</f>
        <v/>
      </c>
      <c r="Y22" s="577" t="str">
        <f>IF(VLOOKUP($A22,'Pre-Assessment Estimator'!$A$10:$Z$225,Y$2,FALSE)=0,"",VLOOKUP($A22,'Pre-Assessment Estimator'!$A$10:$Z$225,Y$2,FALSE))</f>
        <v/>
      </c>
      <c r="Z22" s="370" t="str">
        <f>IF(VLOOKUP($A22,'Pre-Assessment Estimator'!$A$10:$Z$225,Z$2,FALSE)=0,"",VLOOKUP($A22,'Pre-Assessment Estimator'!$A$10:$Z$225,Z$2,FALSE))</f>
        <v/>
      </c>
      <c r="AA22" s="696">
        <v>13</v>
      </c>
      <c r="AB22" s="577"/>
      <c r="AF22" s="386">
        <f t="shared" si="0"/>
        <v>1</v>
      </c>
      <c r="AG22" s="414"/>
      <c r="AL22" s="413"/>
    </row>
    <row r="23" spans="1:38" ht="30" x14ac:dyDescent="0.25">
      <c r="A23" s="823">
        <v>14</v>
      </c>
      <c r="B23" s="1236" t="s">
        <v>63</v>
      </c>
      <c r="C23" s="1236"/>
      <c r="D23" s="1259" t="str">
        <f>VLOOKUP($A23,'Pre-Assessment Estimator'!$A$10:$Z$225,D$2,FALSE)</f>
        <v>Man 03</v>
      </c>
      <c r="E23" s="1260" t="str">
        <f>VLOOKUP($A23,'Pre-Assessment Estimator'!$A$10:$Z$225,E$2,FALSE)</f>
        <v>Considerate contruction: clean and tidy building process and checklist A1 (EU taxonomy requirement: criterion 7-9)</v>
      </c>
      <c r="F23" s="574">
        <f>VLOOKUP($A23,'Pre-Assessment Estimator'!$A$10:$Z$225,F$2,FALSE)</f>
        <v>1</v>
      </c>
      <c r="G23" s="580" t="str">
        <f>IF(VLOOKUP($A23,'Pre-Assessment Estimator'!$A$10:$Z$225,G$2,FALSE)=0,"",VLOOKUP($A23,'Pre-Assessment Estimator'!$A$10:$Z$225,G$2,FALSE))</f>
        <v/>
      </c>
      <c r="H23" s="575">
        <f>VLOOKUP($A23,'Pre-Assessment Estimator'!$A$10:$Z$225,H$2,FALSE)</f>
        <v>0</v>
      </c>
      <c r="I23" s="574" t="str">
        <f>VLOOKUP($A23,'Pre-Assessment Estimator'!$A$10:$Z$225,I$2,FALSE)</f>
        <v>Unclassified</v>
      </c>
      <c r="J23" s="577" t="str">
        <f>IF(VLOOKUP($A23,'Pre-Assessment Estimator'!$A$10:$Z$225,J$2,FALSE)=0,"",VLOOKUP($A23,'Pre-Assessment Estimator'!$A$10:$Z$225,J$2,FALSE))</f>
        <v/>
      </c>
      <c r="K23" s="577" t="str">
        <f>IF(VLOOKUP($A23,'Pre-Assessment Estimator'!$A$10:$Z$225,K$2,FALSE)=0,"",VLOOKUP($A23,'Pre-Assessment Estimator'!$A$10:$Z$225,K$2,FALSE))</f>
        <v/>
      </c>
      <c r="L23" s="578" t="str">
        <f>IF(VLOOKUP($A23,'Pre-Assessment Estimator'!$A$10:$Z$225,L$2,FALSE)=0,"",VLOOKUP($A23,'Pre-Assessment Estimator'!$A$10:$Z$225,L$2,FALSE))</f>
        <v/>
      </c>
      <c r="M23" s="579"/>
      <c r="N23" s="580" t="str">
        <f>IF(VLOOKUP($A23,'Pre-Assessment Estimator'!$A$10:$Z$225,N$2,FALSE)=0,"",VLOOKUP($A23,'Pre-Assessment Estimator'!$A$10:$Z$225,N$2,FALSE))</f>
        <v/>
      </c>
      <c r="O23" s="575">
        <f>VLOOKUP($A23,'Pre-Assessment Estimator'!$A$10:$Z$225,O$2,FALSE)</f>
        <v>0</v>
      </c>
      <c r="P23" s="574" t="str">
        <f>VLOOKUP($A23,'Pre-Assessment Estimator'!$A$10:$Z$225,P$2,FALSE)</f>
        <v>Unclassified</v>
      </c>
      <c r="Q23" s="577" t="str">
        <f>IF(VLOOKUP($A23,'Pre-Assessment Estimator'!$A$10:$Z$225,Q$2,FALSE)=0,"",VLOOKUP($A23,'Pre-Assessment Estimator'!$A$10:$Z$225,Q$2,FALSE))</f>
        <v/>
      </c>
      <c r="R23" s="577" t="str">
        <f>IF(VLOOKUP($A23,'Pre-Assessment Estimator'!$A$10:$Z$225,R$2,FALSE)=0,"",VLOOKUP($A23,'Pre-Assessment Estimator'!$A$10:$Z$225,R$2,FALSE))</f>
        <v/>
      </c>
      <c r="S23" s="578" t="str">
        <f>IF(VLOOKUP($A23,'Pre-Assessment Estimator'!$A$10:$Z$225,S$2,FALSE)=0,"",VLOOKUP($A23,'Pre-Assessment Estimator'!$A$10:$Z$225,S$2,FALSE))</f>
        <v/>
      </c>
      <c r="T23" s="581"/>
      <c r="U23" s="580" t="str">
        <f>IF(VLOOKUP($A23,'Pre-Assessment Estimator'!$A$10:$Z$225,U$2,FALSE)=0,"",VLOOKUP($A23,'Pre-Assessment Estimator'!$A$10:$Z$225,U$2,FALSE))</f>
        <v/>
      </c>
      <c r="V23" s="575">
        <f>VLOOKUP($A23,'Pre-Assessment Estimator'!$A$10:$Z$225,V$2,FALSE)</f>
        <v>0</v>
      </c>
      <c r="W23" s="574" t="str">
        <f>VLOOKUP($A23,'Pre-Assessment Estimator'!$A$10:$Z$225,W$2,FALSE)</f>
        <v>Unclassified</v>
      </c>
      <c r="X23" s="577" t="str">
        <f>IF(VLOOKUP($A23,'Pre-Assessment Estimator'!$A$10:$Z$225,X$2,FALSE)=0,"",VLOOKUP($A23,'Pre-Assessment Estimator'!$A$10:$Z$225,X$2,FALSE))</f>
        <v/>
      </c>
      <c r="Y23" s="577" t="str">
        <f>IF(VLOOKUP($A23,'Pre-Assessment Estimator'!$A$10:$Z$225,Y$2,FALSE)=0,"",VLOOKUP($A23,'Pre-Assessment Estimator'!$A$10:$Z$225,Y$2,FALSE))</f>
        <v/>
      </c>
      <c r="Z23" s="370" t="str">
        <f>IF(VLOOKUP($A23,'Pre-Assessment Estimator'!$A$10:$Z$225,Z$2,FALSE)=0,"",VLOOKUP($A23,'Pre-Assessment Estimator'!$A$10:$Z$225,Z$2,FALSE))</f>
        <v/>
      </c>
      <c r="AA23" s="696">
        <v>14</v>
      </c>
      <c r="AB23" s="577"/>
      <c r="AF23" s="386">
        <f t="shared" si="0"/>
        <v>1</v>
      </c>
      <c r="AG23" s="414"/>
      <c r="AL23" s="413"/>
    </row>
    <row r="24" spans="1:38" ht="30" x14ac:dyDescent="0.25">
      <c r="A24" s="823">
        <v>15</v>
      </c>
      <c r="B24" s="1236" t="s">
        <v>63</v>
      </c>
      <c r="C24" s="1236"/>
      <c r="D24" s="1259" t="str">
        <f>VLOOKUP($A24,'Pre-Assessment Estimator'!$A$10:$Z$225,D$2,FALSE)</f>
        <v>Man 03</v>
      </c>
      <c r="E24" s="1260" t="str">
        <f>VLOOKUP($A24,'Pre-Assessment Estimator'!$A$10:$Z$225,E$2,FALSE)</f>
        <v>Considerate contruction: INSTA 800 and checklist A1 (EU taxonomy requirement: criterion 7-9)</v>
      </c>
      <c r="F24" s="574">
        <f>VLOOKUP($A24,'Pre-Assessment Estimator'!$A$10:$Z$225,F$2,FALSE)</f>
        <v>1</v>
      </c>
      <c r="G24" s="580" t="str">
        <f>IF(VLOOKUP($A24,'Pre-Assessment Estimator'!$A$10:$Z$225,G$2,FALSE)=0,"",VLOOKUP($A24,'Pre-Assessment Estimator'!$A$10:$Z$225,G$2,FALSE))</f>
        <v/>
      </c>
      <c r="H24" s="575">
        <f>VLOOKUP($A24,'Pre-Assessment Estimator'!$A$10:$Z$225,H$2,FALSE)</f>
        <v>0</v>
      </c>
      <c r="I24" s="574" t="str">
        <f>VLOOKUP($A24,'Pre-Assessment Estimator'!$A$10:$Z$225,I$2,FALSE)</f>
        <v>Good</v>
      </c>
      <c r="J24" s="577" t="str">
        <f>IF(VLOOKUP($A24,'Pre-Assessment Estimator'!$A$10:$Z$225,J$2,FALSE)=0,"",VLOOKUP($A24,'Pre-Assessment Estimator'!$A$10:$Z$225,J$2,FALSE))</f>
        <v/>
      </c>
      <c r="K24" s="577" t="str">
        <f>IF(VLOOKUP($A24,'Pre-Assessment Estimator'!$A$10:$Z$225,K$2,FALSE)=0,"",VLOOKUP($A24,'Pre-Assessment Estimator'!$A$10:$Z$225,K$2,FALSE))</f>
        <v/>
      </c>
      <c r="L24" s="578" t="str">
        <f>IF(VLOOKUP($A24,'Pre-Assessment Estimator'!$A$10:$Z$225,L$2,FALSE)=0,"",VLOOKUP($A24,'Pre-Assessment Estimator'!$A$10:$Z$225,L$2,FALSE))</f>
        <v/>
      </c>
      <c r="M24" s="579"/>
      <c r="N24" s="580" t="str">
        <f>IF(VLOOKUP($A24,'Pre-Assessment Estimator'!$A$10:$Z$225,N$2,FALSE)=0,"",VLOOKUP($A24,'Pre-Assessment Estimator'!$A$10:$Z$225,N$2,FALSE))</f>
        <v/>
      </c>
      <c r="O24" s="575">
        <f>VLOOKUP($A24,'Pre-Assessment Estimator'!$A$10:$Z$225,O$2,FALSE)</f>
        <v>0</v>
      </c>
      <c r="P24" s="574" t="str">
        <f>VLOOKUP($A24,'Pre-Assessment Estimator'!$A$10:$Z$225,P$2,FALSE)</f>
        <v>Good</v>
      </c>
      <c r="Q24" s="577" t="str">
        <f>IF(VLOOKUP($A24,'Pre-Assessment Estimator'!$A$10:$Z$225,Q$2,FALSE)=0,"",VLOOKUP($A24,'Pre-Assessment Estimator'!$A$10:$Z$225,Q$2,FALSE))</f>
        <v/>
      </c>
      <c r="R24" s="577" t="str">
        <f>IF(VLOOKUP($A24,'Pre-Assessment Estimator'!$A$10:$Z$225,R$2,FALSE)=0,"",VLOOKUP($A24,'Pre-Assessment Estimator'!$A$10:$Z$225,R$2,FALSE))</f>
        <v/>
      </c>
      <c r="S24" s="578" t="str">
        <f>IF(VLOOKUP($A24,'Pre-Assessment Estimator'!$A$10:$Z$225,S$2,FALSE)=0,"",VLOOKUP($A24,'Pre-Assessment Estimator'!$A$10:$Z$225,S$2,FALSE))</f>
        <v/>
      </c>
      <c r="T24" s="581"/>
      <c r="U24" s="580" t="str">
        <f>IF(VLOOKUP($A24,'Pre-Assessment Estimator'!$A$10:$Z$225,U$2,FALSE)=0,"",VLOOKUP($A24,'Pre-Assessment Estimator'!$A$10:$Z$225,U$2,FALSE))</f>
        <v/>
      </c>
      <c r="V24" s="575">
        <f>VLOOKUP($A24,'Pre-Assessment Estimator'!$A$10:$Z$225,V$2,FALSE)</f>
        <v>0</v>
      </c>
      <c r="W24" s="574" t="str">
        <f>VLOOKUP($A24,'Pre-Assessment Estimator'!$A$10:$Z$225,W$2,FALSE)</f>
        <v>Good</v>
      </c>
      <c r="X24" s="577" t="str">
        <f>IF(VLOOKUP($A24,'Pre-Assessment Estimator'!$A$10:$Z$225,X$2,FALSE)=0,"",VLOOKUP($A24,'Pre-Assessment Estimator'!$A$10:$Z$225,X$2,FALSE))</f>
        <v/>
      </c>
      <c r="Y24" s="577" t="str">
        <f>IF(VLOOKUP($A24,'Pre-Assessment Estimator'!$A$10:$Z$225,Y$2,FALSE)=0,"",VLOOKUP($A24,'Pre-Assessment Estimator'!$A$10:$Z$225,Y$2,FALSE))</f>
        <v/>
      </c>
      <c r="Z24" s="370" t="str">
        <f>IF(VLOOKUP($A24,'Pre-Assessment Estimator'!$A$10:$Z$225,Z$2,FALSE)=0,"",VLOOKUP($A24,'Pre-Assessment Estimator'!$A$10:$Z$225,Z$2,FALSE))</f>
        <v/>
      </c>
      <c r="AA24" s="696">
        <v>15</v>
      </c>
      <c r="AB24" s="577"/>
      <c r="AF24" s="386">
        <f t="shared" si="0"/>
        <v>1</v>
      </c>
      <c r="AG24" s="414"/>
      <c r="AL24" s="413"/>
    </row>
    <row r="25" spans="1:38" x14ac:dyDescent="0.25">
      <c r="A25" s="823">
        <v>16</v>
      </c>
      <c r="B25" s="1236" t="s">
        <v>63</v>
      </c>
      <c r="C25" s="1236"/>
      <c r="D25" s="1259" t="str">
        <f>VLOOKUP($A25,'Pre-Assessment Estimator'!$A$10:$Z$225,D$2,FALSE)</f>
        <v>Man 03</v>
      </c>
      <c r="E25" s="1260" t="str">
        <f>VLOOKUP($A25,'Pre-Assessment Estimator'!$A$10:$Z$225,E$2,FALSE)</f>
        <v>Energy consumption from activities on the construction site (step 2-4)</v>
      </c>
      <c r="F25" s="574">
        <f>VLOOKUP($A25,'Pre-Assessment Estimator'!$A$10:$Z$225,F$2,FALSE)</f>
        <v>1</v>
      </c>
      <c r="G25" s="580" t="str">
        <f>IF(VLOOKUP($A25,'Pre-Assessment Estimator'!$A$10:$Z$225,G$2,FALSE)=0,"",VLOOKUP($A25,'Pre-Assessment Estimator'!$A$10:$Z$225,G$2,FALSE))</f>
        <v/>
      </c>
      <c r="H25" s="575">
        <f>VLOOKUP($A25,'Pre-Assessment Estimator'!$A$10:$Z$225,H$2,FALSE)</f>
        <v>0</v>
      </c>
      <c r="I25" s="574" t="str">
        <f>VLOOKUP($A25,'Pre-Assessment Estimator'!$A$10:$Z$225,I$2,FALSE)</f>
        <v>Very Good</v>
      </c>
      <c r="J25" s="577" t="str">
        <f>IF(VLOOKUP($A25,'Pre-Assessment Estimator'!$A$10:$Z$225,J$2,FALSE)=0,"",VLOOKUP($A25,'Pre-Assessment Estimator'!$A$10:$Z$225,J$2,FALSE))</f>
        <v/>
      </c>
      <c r="K25" s="577" t="str">
        <f>IF(VLOOKUP($A25,'Pre-Assessment Estimator'!$A$10:$Z$225,K$2,FALSE)=0,"",VLOOKUP($A25,'Pre-Assessment Estimator'!$A$10:$Z$225,K$2,FALSE))</f>
        <v/>
      </c>
      <c r="L25" s="578" t="str">
        <f>IF(VLOOKUP($A25,'Pre-Assessment Estimator'!$A$10:$Z$225,L$2,FALSE)=0,"",VLOOKUP($A25,'Pre-Assessment Estimator'!$A$10:$Z$225,L$2,FALSE))</f>
        <v/>
      </c>
      <c r="M25" s="579"/>
      <c r="N25" s="580" t="str">
        <f>IF(VLOOKUP($A25,'Pre-Assessment Estimator'!$A$10:$Z$225,N$2,FALSE)=0,"",VLOOKUP($A25,'Pre-Assessment Estimator'!$A$10:$Z$225,N$2,FALSE))</f>
        <v/>
      </c>
      <c r="O25" s="575">
        <f>VLOOKUP($A25,'Pre-Assessment Estimator'!$A$10:$Z$225,O$2,FALSE)</f>
        <v>0</v>
      </c>
      <c r="P25" s="574" t="str">
        <f>VLOOKUP($A25,'Pre-Assessment Estimator'!$A$10:$Z$225,P$2,FALSE)</f>
        <v>Very Good</v>
      </c>
      <c r="Q25" s="577" t="str">
        <f>IF(VLOOKUP($A25,'Pre-Assessment Estimator'!$A$10:$Z$225,Q$2,FALSE)=0,"",VLOOKUP($A25,'Pre-Assessment Estimator'!$A$10:$Z$225,Q$2,FALSE))</f>
        <v/>
      </c>
      <c r="R25" s="577" t="str">
        <f>IF(VLOOKUP($A25,'Pre-Assessment Estimator'!$A$10:$Z$225,R$2,FALSE)=0,"",VLOOKUP($A25,'Pre-Assessment Estimator'!$A$10:$Z$225,R$2,FALSE))</f>
        <v/>
      </c>
      <c r="S25" s="578" t="str">
        <f>IF(VLOOKUP($A25,'Pre-Assessment Estimator'!$A$10:$Z$225,S$2,FALSE)=0,"",VLOOKUP($A25,'Pre-Assessment Estimator'!$A$10:$Z$225,S$2,FALSE))</f>
        <v/>
      </c>
      <c r="T25" s="581"/>
      <c r="U25" s="580" t="str">
        <f>IF(VLOOKUP($A25,'Pre-Assessment Estimator'!$A$10:$Z$225,U$2,FALSE)=0,"",VLOOKUP($A25,'Pre-Assessment Estimator'!$A$10:$Z$225,U$2,FALSE))</f>
        <v/>
      </c>
      <c r="V25" s="575">
        <f>VLOOKUP($A25,'Pre-Assessment Estimator'!$A$10:$Z$225,V$2,FALSE)</f>
        <v>0</v>
      </c>
      <c r="W25" s="574" t="str">
        <f>VLOOKUP($A25,'Pre-Assessment Estimator'!$A$10:$Z$225,W$2,FALSE)</f>
        <v>Very Good</v>
      </c>
      <c r="X25" s="577" t="str">
        <f>IF(VLOOKUP($A25,'Pre-Assessment Estimator'!$A$10:$Z$225,X$2,FALSE)=0,"",VLOOKUP($A25,'Pre-Assessment Estimator'!$A$10:$Z$225,X$2,FALSE))</f>
        <v/>
      </c>
      <c r="Y25" s="577" t="str">
        <f>IF(VLOOKUP($A25,'Pre-Assessment Estimator'!$A$10:$Z$225,Y$2,FALSE)=0,"",VLOOKUP($A25,'Pre-Assessment Estimator'!$A$10:$Z$225,Y$2,FALSE))</f>
        <v/>
      </c>
      <c r="Z25" s="370" t="str">
        <f>IF(VLOOKUP($A25,'Pre-Assessment Estimator'!$A$10:$Z$225,Z$2,FALSE)=0,"",VLOOKUP($A25,'Pre-Assessment Estimator'!$A$10:$Z$225,Z$2,FALSE))</f>
        <v/>
      </c>
      <c r="AA25" s="696">
        <v>16</v>
      </c>
      <c r="AB25" s="577"/>
      <c r="AF25" s="386">
        <f t="shared" si="0"/>
        <v>1</v>
      </c>
      <c r="AG25" s="414"/>
      <c r="AL25" s="413"/>
    </row>
    <row r="26" spans="1:38" x14ac:dyDescent="0.25">
      <c r="A26" s="823">
        <v>17</v>
      </c>
      <c r="B26" s="1236" t="s">
        <v>63</v>
      </c>
      <c r="C26" s="1236"/>
      <c r="D26" s="1259" t="str">
        <f>VLOOKUP($A26,'Pre-Assessment Estimator'!$A$10:$Z$225,D$2,FALSE)</f>
        <v>Man 03</v>
      </c>
      <c r="E26" s="1260" t="str">
        <f>VLOOKUP($A26,'Pre-Assessment Estimator'!$A$10:$Z$225,E$2,FALSE)</f>
        <v>Energy consumption from transport of masses and waste (step 2-4)</v>
      </c>
      <c r="F26" s="574">
        <f>VLOOKUP($A26,'Pre-Assessment Estimator'!$A$10:$Z$225,F$2,FALSE)</f>
        <v>2</v>
      </c>
      <c r="G26" s="580" t="str">
        <f>IF(VLOOKUP($A26,'Pre-Assessment Estimator'!$A$10:$Z$225,G$2,FALSE)=0,"",VLOOKUP($A26,'Pre-Assessment Estimator'!$A$10:$Z$225,G$2,FALSE))</f>
        <v/>
      </c>
      <c r="H26" s="575">
        <f>VLOOKUP($A26,'Pre-Assessment Estimator'!$A$10:$Z$225,H$2,FALSE)</f>
        <v>0</v>
      </c>
      <c r="I26" s="574" t="str">
        <f>VLOOKUP($A26,'Pre-Assessment Estimator'!$A$10:$Z$225,I$2,FALSE)</f>
        <v>Very Good</v>
      </c>
      <c r="J26" s="577" t="str">
        <f>IF(VLOOKUP($A26,'Pre-Assessment Estimator'!$A$10:$Z$225,J$2,FALSE)=0,"",VLOOKUP($A26,'Pre-Assessment Estimator'!$A$10:$Z$225,J$2,FALSE))</f>
        <v/>
      </c>
      <c r="K26" s="577" t="str">
        <f>IF(VLOOKUP($A26,'Pre-Assessment Estimator'!$A$10:$Z$225,K$2,FALSE)=0,"",VLOOKUP($A26,'Pre-Assessment Estimator'!$A$10:$Z$225,K$2,FALSE))</f>
        <v/>
      </c>
      <c r="L26" s="578" t="str">
        <f>IF(VLOOKUP($A26,'Pre-Assessment Estimator'!$A$10:$Z$225,L$2,FALSE)=0,"",VLOOKUP($A26,'Pre-Assessment Estimator'!$A$10:$Z$225,L$2,FALSE))</f>
        <v/>
      </c>
      <c r="M26" s="579"/>
      <c r="N26" s="580" t="str">
        <f>IF(VLOOKUP($A26,'Pre-Assessment Estimator'!$A$10:$Z$225,N$2,FALSE)=0,"",VLOOKUP($A26,'Pre-Assessment Estimator'!$A$10:$Z$225,N$2,FALSE))</f>
        <v/>
      </c>
      <c r="O26" s="575">
        <f>VLOOKUP($A26,'Pre-Assessment Estimator'!$A$10:$Z$225,O$2,FALSE)</f>
        <v>0</v>
      </c>
      <c r="P26" s="574" t="str">
        <f>VLOOKUP($A26,'Pre-Assessment Estimator'!$A$10:$Z$225,P$2,FALSE)</f>
        <v>Very Good</v>
      </c>
      <c r="Q26" s="577" t="str">
        <f>IF(VLOOKUP($A26,'Pre-Assessment Estimator'!$A$10:$Z$225,Q$2,FALSE)=0,"",VLOOKUP($A26,'Pre-Assessment Estimator'!$A$10:$Z$225,Q$2,FALSE))</f>
        <v/>
      </c>
      <c r="R26" s="577" t="str">
        <f>IF(VLOOKUP($A26,'Pre-Assessment Estimator'!$A$10:$Z$225,R$2,FALSE)=0,"",VLOOKUP($A26,'Pre-Assessment Estimator'!$A$10:$Z$225,R$2,FALSE))</f>
        <v/>
      </c>
      <c r="S26" s="578" t="str">
        <f>IF(VLOOKUP($A26,'Pre-Assessment Estimator'!$A$10:$Z$225,S$2,FALSE)=0,"",VLOOKUP($A26,'Pre-Assessment Estimator'!$A$10:$Z$225,S$2,FALSE))</f>
        <v/>
      </c>
      <c r="T26" s="581"/>
      <c r="U26" s="580" t="str">
        <f>IF(VLOOKUP($A26,'Pre-Assessment Estimator'!$A$10:$Z$225,U$2,FALSE)=0,"",VLOOKUP($A26,'Pre-Assessment Estimator'!$A$10:$Z$225,U$2,FALSE))</f>
        <v/>
      </c>
      <c r="V26" s="575">
        <f>VLOOKUP($A26,'Pre-Assessment Estimator'!$A$10:$Z$225,V$2,FALSE)</f>
        <v>0</v>
      </c>
      <c r="W26" s="574" t="str">
        <f>VLOOKUP($A26,'Pre-Assessment Estimator'!$A$10:$Z$225,W$2,FALSE)</f>
        <v>Very Good</v>
      </c>
      <c r="X26" s="577" t="str">
        <f>IF(VLOOKUP($A26,'Pre-Assessment Estimator'!$A$10:$Z$225,X$2,FALSE)=0,"",VLOOKUP($A26,'Pre-Assessment Estimator'!$A$10:$Z$225,X$2,FALSE))</f>
        <v/>
      </c>
      <c r="Y26" s="577" t="str">
        <f>IF(VLOOKUP($A26,'Pre-Assessment Estimator'!$A$10:$Z$225,Y$2,FALSE)=0,"",VLOOKUP($A26,'Pre-Assessment Estimator'!$A$10:$Z$225,Y$2,FALSE))</f>
        <v/>
      </c>
      <c r="Z26" s="370" t="str">
        <f>IF(VLOOKUP($A26,'Pre-Assessment Estimator'!$A$10:$Z$225,Z$2,FALSE)=0,"",VLOOKUP($A26,'Pre-Assessment Estimator'!$A$10:$Z$225,Z$2,FALSE))</f>
        <v/>
      </c>
      <c r="AA26" s="696">
        <v>17</v>
      </c>
      <c r="AB26" s="577"/>
      <c r="AF26" s="386">
        <f t="shared" si="0"/>
        <v>1</v>
      </c>
      <c r="AG26" s="414"/>
      <c r="AL26" s="413"/>
    </row>
    <row r="27" spans="1:38" x14ac:dyDescent="0.25">
      <c r="A27" s="823">
        <v>18</v>
      </c>
      <c r="B27" s="1236" t="s">
        <v>63</v>
      </c>
      <c r="C27" s="1236"/>
      <c r="D27" s="1258" t="str">
        <f>VLOOKUP($A27,'Pre-Assessment Estimator'!$A$10:$Z$225,D$2,FALSE)</f>
        <v>Man 04</v>
      </c>
      <c r="E27" s="1258" t="str">
        <f>VLOOKUP($A27,'Pre-Assessment Estimator'!$A$10:$Z$225,E$2,FALSE)</f>
        <v>Man 04 Commissioning and handover</v>
      </c>
      <c r="F27" s="574">
        <f>VLOOKUP($A27,'Pre-Assessment Estimator'!$A$10:$Z$225,F$2,FALSE)</f>
        <v>3</v>
      </c>
      <c r="G27" s="580" t="str">
        <f>IF(VLOOKUP($A27,'Pre-Assessment Estimator'!$A$10:$Z$225,G$2,FALSE)=0,"",VLOOKUP($A27,'Pre-Assessment Estimator'!$A$10:$Z$225,G$2,FALSE))</f>
        <v/>
      </c>
      <c r="H27" s="575" t="str">
        <f>VLOOKUP($A27,'Pre-Assessment Estimator'!$A$10:$Z$225,H$2,FALSE)</f>
        <v>0 c. 0 %</v>
      </c>
      <c r="I27" s="574" t="str">
        <f>VLOOKUP($A27,'Pre-Assessment Estimator'!$A$10:$Z$225,I$2,FALSE)</f>
        <v>N/A</v>
      </c>
      <c r="J27" s="577" t="str">
        <f>IF(VLOOKUP($A27,'Pre-Assessment Estimator'!$A$10:$Z$225,J$2,FALSE)=0,"",VLOOKUP($A27,'Pre-Assessment Estimator'!$A$10:$Z$225,J$2,FALSE))</f>
        <v/>
      </c>
      <c r="K27" s="577" t="str">
        <f>IF(VLOOKUP($A27,'Pre-Assessment Estimator'!$A$10:$Z$225,K$2,FALSE)=0,"",VLOOKUP($A27,'Pre-Assessment Estimator'!$A$10:$Z$225,K$2,FALSE))</f>
        <v/>
      </c>
      <c r="L27" s="578" t="str">
        <f>IF(VLOOKUP($A27,'Pre-Assessment Estimator'!$A$10:$Z$225,L$2,FALSE)=0,"",VLOOKUP($A27,'Pre-Assessment Estimator'!$A$10:$Z$225,L$2,FALSE))</f>
        <v/>
      </c>
      <c r="M27" s="579"/>
      <c r="N27" s="580" t="str">
        <f>IF(VLOOKUP($A27,'Pre-Assessment Estimator'!$A$10:$Z$225,N$2,FALSE)=0,"",VLOOKUP($A27,'Pre-Assessment Estimator'!$A$10:$Z$225,N$2,FALSE))</f>
        <v/>
      </c>
      <c r="O27" s="575" t="str">
        <f>VLOOKUP($A27,'Pre-Assessment Estimator'!$A$10:$Z$225,O$2,FALSE)</f>
        <v>0 c. 0 %</v>
      </c>
      <c r="P27" s="574" t="str">
        <f>VLOOKUP($A27,'Pre-Assessment Estimator'!$A$10:$Z$225,P$2,FALSE)</f>
        <v>N/A</v>
      </c>
      <c r="Q27" s="577" t="str">
        <f>IF(VLOOKUP($A27,'Pre-Assessment Estimator'!$A$10:$Z$225,Q$2,FALSE)=0,"",VLOOKUP($A27,'Pre-Assessment Estimator'!$A$10:$Z$225,Q$2,FALSE))</f>
        <v/>
      </c>
      <c r="R27" s="577" t="str">
        <f>IF(VLOOKUP($A27,'Pre-Assessment Estimator'!$A$10:$Z$225,R$2,FALSE)=0,"",VLOOKUP($A27,'Pre-Assessment Estimator'!$A$10:$Z$225,R$2,FALSE))</f>
        <v/>
      </c>
      <c r="S27" s="578" t="str">
        <f>IF(VLOOKUP($A27,'Pre-Assessment Estimator'!$A$10:$Z$225,S$2,FALSE)=0,"",VLOOKUP($A27,'Pre-Assessment Estimator'!$A$10:$Z$225,S$2,FALSE))</f>
        <v/>
      </c>
      <c r="T27" s="581"/>
      <c r="U27" s="580" t="str">
        <f>IF(VLOOKUP($A27,'Pre-Assessment Estimator'!$A$10:$Z$225,U$2,FALSE)=0,"",VLOOKUP($A27,'Pre-Assessment Estimator'!$A$10:$Z$225,U$2,FALSE))</f>
        <v/>
      </c>
      <c r="V27" s="575" t="str">
        <f>VLOOKUP($A27,'Pre-Assessment Estimator'!$A$10:$Z$225,V$2,FALSE)</f>
        <v>0 c. 0 %</v>
      </c>
      <c r="W27" s="574" t="str">
        <f>VLOOKUP($A27,'Pre-Assessment Estimator'!$A$10:$Z$225,W$2,FALSE)</f>
        <v>N/A</v>
      </c>
      <c r="X27" s="577" t="str">
        <f>IF(VLOOKUP($A27,'Pre-Assessment Estimator'!$A$10:$Z$225,X$2,FALSE)=0,"",VLOOKUP($A27,'Pre-Assessment Estimator'!$A$10:$Z$225,X$2,FALSE))</f>
        <v/>
      </c>
      <c r="Y27" s="577" t="str">
        <f>IF(VLOOKUP($A27,'Pre-Assessment Estimator'!$A$10:$Z$225,Y$2,FALSE)=0,"",VLOOKUP($A27,'Pre-Assessment Estimator'!$A$10:$Z$225,Y$2,FALSE))</f>
        <v/>
      </c>
      <c r="Z27" s="370" t="str">
        <f>IF(VLOOKUP($A27,'Pre-Assessment Estimator'!$A$10:$Z$225,Z$2,FALSE)=0,"",VLOOKUP($A27,'Pre-Assessment Estimator'!$A$10:$Z$225,Z$2,FALSE))</f>
        <v/>
      </c>
      <c r="AA27" s="696">
        <v>18</v>
      </c>
      <c r="AB27" s="577"/>
      <c r="AF27" s="386">
        <f t="shared" si="0"/>
        <v>1</v>
      </c>
      <c r="AG27" s="414"/>
      <c r="AL27" s="413"/>
    </row>
    <row r="28" spans="1:38" x14ac:dyDescent="0.25">
      <c r="A28" s="823">
        <v>19</v>
      </c>
      <c r="B28" s="1236" t="s">
        <v>63</v>
      </c>
      <c r="C28" s="1236"/>
      <c r="D28" s="1259" t="str">
        <f>VLOOKUP($A28,'Pre-Assessment Estimator'!$A$10:$Z$225,D$2,FALSE)</f>
        <v>Man 04</v>
      </c>
      <c r="E28" s="1260" t="str">
        <f>VLOOKUP($A28,'Pre-Assessment Estimator'!$A$10:$Z$225,E$2,FALSE)</f>
        <v xml:space="preserve">Commissioning - testing schedule and responsibilities </v>
      </c>
      <c r="F28" s="574">
        <f>VLOOKUP($A28,'Pre-Assessment Estimator'!$A$10:$Z$225,F$2,FALSE)</f>
        <v>1</v>
      </c>
      <c r="G28" s="580" t="str">
        <f>IF(VLOOKUP($A28,'Pre-Assessment Estimator'!$A$10:$Z$225,G$2,FALSE)=0,"",VLOOKUP($A28,'Pre-Assessment Estimator'!$A$10:$Z$225,G$2,FALSE))</f>
        <v/>
      </c>
      <c r="H28" s="575">
        <f>VLOOKUP($A28,'Pre-Assessment Estimator'!$A$10:$Z$225,H$2,FALSE)</f>
        <v>0</v>
      </c>
      <c r="I28" s="574" t="str">
        <f>VLOOKUP($A28,'Pre-Assessment Estimator'!$A$10:$Z$225,I$2,FALSE)</f>
        <v>Unclassified</v>
      </c>
      <c r="J28" s="577" t="str">
        <f>IF(VLOOKUP($A28,'Pre-Assessment Estimator'!$A$10:$Z$225,J$2,FALSE)=0,"",VLOOKUP($A28,'Pre-Assessment Estimator'!$A$10:$Z$225,J$2,FALSE))</f>
        <v/>
      </c>
      <c r="K28" s="577" t="str">
        <f>IF(VLOOKUP($A28,'Pre-Assessment Estimator'!$A$10:$Z$225,K$2,FALSE)=0,"",VLOOKUP($A28,'Pre-Assessment Estimator'!$A$10:$Z$225,K$2,FALSE))</f>
        <v/>
      </c>
      <c r="L28" s="578" t="str">
        <f>IF(VLOOKUP($A28,'Pre-Assessment Estimator'!$A$10:$Z$225,L$2,FALSE)=0,"",VLOOKUP($A28,'Pre-Assessment Estimator'!$A$10:$Z$225,L$2,FALSE))</f>
        <v/>
      </c>
      <c r="M28" s="579"/>
      <c r="N28" s="580" t="str">
        <f>IF(VLOOKUP($A28,'Pre-Assessment Estimator'!$A$10:$Z$225,N$2,FALSE)=0,"",VLOOKUP($A28,'Pre-Assessment Estimator'!$A$10:$Z$225,N$2,FALSE))</f>
        <v/>
      </c>
      <c r="O28" s="575">
        <f>VLOOKUP($A28,'Pre-Assessment Estimator'!$A$10:$Z$225,O$2,FALSE)</f>
        <v>0</v>
      </c>
      <c r="P28" s="574" t="str">
        <f>VLOOKUP($A28,'Pre-Assessment Estimator'!$A$10:$Z$225,P$2,FALSE)</f>
        <v>Unclassified</v>
      </c>
      <c r="Q28" s="577" t="str">
        <f>IF(VLOOKUP($A28,'Pre-Assessment Estimator'!$A$10:$Z$225,Q$2,FALSE)=0,"",VLOOKUP($A28,'Pre-Assessment Estimator'!$A$10:$Z$225,Q$2,FALSE))</f>
        <v/>
      </c>
      <c r="R28" s="577" t="str">
        <f>IF(VLOOKUP($A28,'Pre-Assessment Estimator'!$A$10:$Z$225,R$2,FALSE)=0,"",VLOOKUP($A28,'Pre-Assessment Estimator'!$A$10:$Z$225,R$2,FALSE))</f>
        <v/>
      </c>
      <c r="S28" s="578" t="str">
        <f>IF(VLOOKUP($A28,'Pre-Assessment Estimator'!$A$10:$Z$225,S$2,FALSE)=0,"",VLOOKUP($A28,'Pre-Assessment Estimator'!$A$10:$Z$225,S$2,FALSE))</f>
        <v/>
      </c>
      <c r="T28" s="581"/>
      <c r="U28" s="580" t="str">
        <f>IF(VLOOKUP($A28,'Pre-Assessment Estimator'!$A$10:$Z$225,U$2,FALSE)=0,"",VLOOKUP($A28,'Pre-Assessment Estimator'!$A$10:$Z$225,U$2,FALSE))</f>
        <v/>
      </c>
      <c r="V28" s="575">
        <f>VLOOKUP($A28,'Pre-Assessment Estimator'!$A$10:$Z$225,V$2,FALSE)</f>
        <v>0</v>
      </c>
      <c r="W28" s="574" t="str">
        <f>VLOOKUP($A28,'Pre-Assessment Estimator'!$A$10:$Z$225,W$2,FALSE)</f>
        <v>Unclassified</v>
      </c>
      <c r="X28" s="577" t="str">
        <f>IF(VLOOKUP($A28,'Pre-Assessment Estimator'!$A$10:$Z$225,X$2,FALSE)=0,"",VLOOKUP($A28,'Pre-Assessment Estimator'!$A$10:$Z$225,X$2,FALSE))</f>
        <v/>
      </c>
      <c r="Y28" s="577" t="str">
        <f>IF(VLOOKUP($A28,'Pre-Assessment Estimator'!$A$10:$Z$225,Y$2,FALSE)=0,"",VLOOKUP($A28,'Pre-Assessment Estimator'!$A$10:$Z$225,Y$2,FALSE))</f>
        <v/>
      </c>
      <c r="Z28" s="370" t="str">
        <f>IF(VLOOKUP($A28,'Pre-Assessment Estimator'!$A$10:$Z$225,Z$2,FALSE)=0,"",VLOOKUP($A28,'Pre-Assessment Estimator'!$A$10:$Z$225,Z$2,FALSE))</f>
        <v/>
      </c>
      <c r="AA28" s="696">
        <v>19</v>
      </c>
      <c r="AB28" s="577"/>
      <c r="AF28" s="386">
        <f t="shared" si="0"/>
        <v>1</v>
      </c>
      <c r="AG28" s="414"/>
      <c r="AL28" s="413"/>
    </row>
    <row r="29" spans="1:38" x14ac:dyDescent="0.25">
      <c r="A29" s="823">
        <v>20</v>
      </c>
      <c r="B29" s="1236" t="s">
        <v>63</v>
      </c>
      <c r="C29" s="1236"/>
      <c r="D29" s="1259" t="str">
        <f>VLOOKUP($A29,'Pre-Assessment Estimator'!$A$10:$Z$225,D$2,FALSE)</f>
        <v>Man 04</v>
      </c>
      <c r="E29" s="1260" t="str">
        <f>VLOOKUP($A29,'Pre-Assessment Estimator'!$A$10:$Z$225,E$2,FALSE)</f>
        <v>Commissioning - design, preperation and implementation</v>
      </c>
      <c r="F29" s="574">
        <f>VLOOKUP($A29,'Pre-Assessment Estimator'!$A$10:$Z$225,F$2,FALSE)</f>
        <v>1</v>
      </c>
      <c r="G29" s="580" t="str">
        <f>IF(VLOOKUP($A29,'Pre-Assessment Estimator'!$A$10:$Z$225,G$2,FALSE)=0,"",VLOOKUP($A29,'Pre-Assessment Estimator'!$A$10:$Z$225,G$2,FALSE))</f>
        <v/>
      </c>
      <c r="H29" s="575">
        <f>VLOOKUP($A29,'Pre-Assessment Estimator'!$A$10:$Z$225,H$2,FALSE)</f>
        <v>0</v>
      </c>
      <c r="I29" s="574" t="str">
        <f>VLOOKUP($A29,'Pre-Assessment Estimator'!$A$10:$Z$225,I$2,FALSE)</f>
        <v>N/A</v>
      </c>
      <c r="J29" s="577" t="str">
        <f>IF(VLOOKUP($A29,'Pre-Assessment Estimator'!$A$10:$Z$225,J$2,FALSE)=0,"",VLOOKUP($A29,'Pre-Assessment Estimator'!$A$10:$Z$225,J$2,FALSE))</f>
        <v/>
      </c>
      <c r="K29" s="577" t="str">
        <f>IF(VLOOKUP($A29,'Pre-Assessment Estimator'!$A$10:$Z$225,K$2,FALSE)=0,"",VLOOKUP($A29,'Pre-Assessment Estimator'!$A$10:$Z$225,K$2,FALSE))</f>
        <v/>
      </c>
      <c r="L29" s="578" t="str">
        <f>IF(VLOOKUP($A29,'Pre-Assessment Estimator'!$A$10:$Z$225,L$2,FALSE)=0,"",VLOOKUP($A29,'Pre-Assessment Estimator'!$A$10:$Z$225,L$2,FALSE))</f>
        <v/>
      </c>
      <c r="M29" s="579"/>
      <c r="N29" s="580" t="str">
        <f>IF(VLOOKUP($A29,'Pre-Assessment Estimator'!$A$10:$Z$225,N$2,FALSE)=0,"",VLOOKUP($A29,'Pre-Assessment Estimator'!$A$10:$Z$225,N$2,FALSE))</f>
        <v/>
      </c>
      <c r="O29" s="575">
        <f>VLOOKUP($A29,'Pre-Assessment Estimator'!$A$10:$Z$225,O$2,FALSE)</f>
        <v>0</v>
      </c>
      <c r="P29" s="574" t="str">
        <f>VLOOKUP($A29,'Pre-Assessment Estimator'!$A$10:$Z$225,P$2,FALSE)</f>
        <v>N/A</v>
      </c>
      <c r="Q29" s="577" t="str">
        <f>IF(VLOOKUP($A29,'Pre-Assessment Estimator'!$A$10:$Z$225,Q$2,FALSE)=0,"",VLOOKUP($A29,'Pre-Assessment Estimator'!$A$10:$Z$225,Q$2,FALSE))</f>
        <v/>
      </c>
      <c r="R29" s="577" t="str">
        <f>IF(VLOOKUP($A29,'Pre-Assessment Estimator'!$A$10:$Z$225,R$2,FALSE)=0,"",VLOOKUP($A29,'Pre-Assessment Estimator'!$A$10:$Z$225,R$2,FALSE))</f>
        <v/>
      </c>
      <c r="S29" s="578" t="str">
        <f>IF(VLOOKUP($A29,'Pre-Assessment Estimator'!$A$10:$Z$225,S$2,FALSE)=0,"",VLOOKUP($A29,'Pre-Assessment Estimator'!$A$10:$Z$225,S$2,FALSE))</f>
        <v/>
      </c>
      <c r="T29" s="581"/>
      <c r="U29" s="580" t="str">
        <f>IF(VLOOKUP($A29,'Pre-Assessment Estimator'!$A$10:$Z$225,U$2,FALSE)=0,"",VLOOKUP($A29,'Pre-Assessment Estimator'!$A$10:$Z$225,U$2,FALSE))</f>
        <v/>
      </c>
      <c r="V29" s="575">
        <f>VLOOKUP($A29,'Pre-Assessment Estimator'!$A$10:$Z$225,V$2,FALSE)</f>
        <v>0</v>
      </c>
      <c r="W29" s="574" t="str">
        <f>VLOOKUP($A29,'Pre-Assessment Estimator'!$A$10:$Z$225,W$2,FALSE)</f>
        <v>N/A</v>
      </c>
      <c r="X29" s="577" t="str">
        <f>IF(VLOOKUP($A29,'Pre-Assessment Estimator'!$A$10:$Z$225,X$2,FALSE)=0,"",VLOOKUP($A29,'Pre-Assessment Estimator'!$A$10:$Z$225,X$2,FALSE))</f>
        <v/>
      </c>
      <c r="Y29" s="577" t="str">
        <f>IF(VLOOKUP($A29,'Pre-Assessment Estimator'!$A$10:$Z$225,Y$2,FALSE)=0,"",VLOOKUP($A29,'Pre-Assessment Estimator'!$A$10:$Z$225,Y$2,FALSE))</f>
        <v/>
      </c>
      <c r="Z29" s="370" t="str">
        <f>IF(VLOOKUP($A29,'Pre-Assessment Estimator'!$A$10:$Z$225,Z$2,FALSE)=0,"",VLOOKUP($A29,'Pre-Assessment Estimator'!$A$10:$Z$225,Z$2,FALSE))</f>
        <v/>
      </c>
      <c r="AA29" s="696">
        <v>20</v>
      </c>
      <c r="AB29" s="577"/>
      <c r="AF29" s="386">
        <f t="shared" si="0"/>
        <v>1</v>
      </c>
      <c r="AG29" s="414"/>
      <c r="AL29" s="413"/>
    </row>
    <row r="30" spans="1:38" x14ac:dyDescent="0.25">
      <c r="A30" s="823">
        <v>21</v>
      </c>
      <c r="B30" s="1236" t="s">
        <v>63</v>
      </c>
      <c r="C30" s="1236"/>
      <c r="D30" s="1259" t="str">
        <f>VLOOKUP($A30,'Pre-Assessment Estimator'!$A$10:$Z$225,D$2,FALSE)</f>
        <v>Man 04</v>
      </c>
      <c r="E30" s="1260" t="str">
        <f>VLOOKUP($A30,'Pre-Assessment Estimator'!$A$10:$Z$225,E$2,FALSE)</f>
        <v>Prepare for good handover</v>
      </c>
      <c r="F30" s="574">
        <f>VLOOKUP($A30,'Pre-Assessment Estimator'!$A$10:$Z$225,F$2,FALSE)</f>
        <v>1</v>
      </c>
      <c r="G30" s="580" t="str">
        <f>IF(VLOOKUP($A30,'Pre-Assessment Estimator'!$A$10:$Z$225,G$2,FALSE)=0,"",VLOOKUP($A30,'Pre-Assessment Estimator'!$A$10:$Z$225,G$2,FALSE))</f>
        <v/>
      </c>
      <c r="H30" s="575">
        <f>VLOOKUP($A30,'Pre-Assessment Estimator'!$A$10:$Z$225,H$2,FALSE)</f>
        <v>0</v>
      </c>
      <c r="I30" s="574" t="str">
        <f>VLOOKUP($A30,'Pre-Assessment Estimator'!$A$10:$Z$225,I$2,FALSE)</f>
        <v>Good</v>
      </c>
      <c r="J30" s="577" t="str">
        <f>IF(VLOOKUP($A30,'Pre-Assessment Estimator'!$A$10:$Z$225,J$2,FALSE)=0,"",VLOOKUP($A30,'Pre-Assessment Estimator'!$A$10:$Z$225,J$2,FALSE))</f>
        <v/>
      </c>
      <c r="K30" s="577" t="str">
        <f>IF(VLOOKUP($A30,'Pre-Assessment Estimator'!$A$10:$Z$225,K$2,FALSE)=0,"",VLOOKUP($A30,'Pre-Assessment Estimator'!$A$10:$Z$225,K$2,FALSE))</f>
        <v/>
      </c>
      <c r="L30" s="578" t="str">
        <f>IF(VLOOKUP($A30,'Pre-Assessment Estimator'!$A$10:$Z$225,L$2,FALSE)=0,"",VLOOKUP($A30,'Pre-Assessment Estimator'!$A$10:$Z$225,L$2,FALSE))</f>
        <v/>
      </c>
      <c r="M30" s="579"/>
      <c r="N30" s="580" t="str">
        <f>IF(VLOOKUP($A30,'Pre-Assessment Estimator'!$A$10:$Z$225,N$2,FALSE)=0,"",VLOOKUP($A30,'Pre-Assessment Estimator'!$A$10:$Z$225,N$2,FALSE))</f>
        <v/>
      </c>
      <c r="O30" s="575">
        <f>VLOOKUP($A30,'Pre-Assessment Estimator'!$A$10:$Z$225,O$2,FALSE)</f>
        <v>0</v>
      </c>
      <c r="P30" s="574" t="str">
        <f>VLOOKUP($A30,'Pre-Assessment Estimator'!$A$10:$Z$225,P$2,FALSE)</f>
        <v>Good</v>
      </c>
      <c r="Q30" s="577" t="str">
        <f>IF(VLOOKUP($A30,'Pre-Assessment Estimator'!$A$10:$Z$225,Q$2,FALSE)=0,"",VLOOKUP($A30,'Pre-Assessment Estimator'!$A$10:$Z$225,Q$2,FALSE))</f>
        <v/>
      </c>
      <c r="R30" s="577" t="str">
        <f>IF(VLOOKUP($A30,'Pre-Assessment Estimator'!$A$10:$Z$225,R$2,FALSE)=0,"",VLOOKUP($A30,'Pre-Assessment Estimator'!$A$10:$Z$225,R$2,FALSE))</f>
        <v/>
      </c>
      <c r="S30" s="578" t="str">
        <f>IF(VLOOKUP($A30,'Pre-Assessment Estimator'!$A$10:$Z$225,S$2,FALSE)=0,"",VLOOKUP($A30,'Pre-Assessment Estimator'!$A$10:$Z$225,S$2,FALSE))</f>
        <v/>
      </c>
      <c r="T30" s="581"/>
      <c r="U30" s="580" t="str">
        <f>IF(VLOOKUP($A30,'Pre-Assessment Estimator'!$A$10:$Z$225,U$2,FALSE)=0,"",VLOOKUP($A30,'Pre-Assessment Estimator'!$A$10:$Z$225,U$2,FALSE))</f>
        <v/>
      </c>
      <c r="V30" s="575">
        <f>VLOOKUP($A30,'Pre-Assessment Estimator'!$A$10:$Z$225,V$2,FALSE)</f>
        <v>0</v>
      </c>
      <c r="W30" s="574" t="str">
        <f>VLOOKUP($A30,'Pre-Assessment Estimator'!$A$10:$Z$225,W$2,FALSE)</f>
        <v>Good</v>
      </c>
      <c r="X30" s="577" t="str">
        <f>IF(VLOOKUP($A30,'Pre-Assessment Estimator'!$A$10:$Z$225,X$2,FALSE)=0,"",VLOOKUP($A30,'Pre-Assessment Estimator'!$A$10:$Z$225,X$2,FALSE))</f>
        <v/>
      </c>
      <c r="Y30" s="577" t="str">
        <f>IF(VLOOKUP($A30,'Pre-Assessment Estimator'!$A$10:$Z$225,Y$2,FALSE)=0,"",VLOOKUP($A30,'Pre-Assessment Estimator'!$A$10:$Z$225,Y$2,FALSE))</f>
        <v/>
      </c>
      <c r="Z30" s="370" t="str">
        <f>IF(VLOOKUP($A30,'Pre-Assessment Estimator'!$A$10:$Z$225,Z$2,FALSE)=0,"",VLOOKUP($A30,'Pre-Assessment Estimator'!$A$10:$Z$225,Z$2,FALSE))</f>
        <v/>
      </c>
      <c r="AA30" s="696">
        <v>21</v>
      </c>
      <c r="AB30" s="577"/>
      <c r="AF30" s="386">
        <f t="shared" si="0"/>
        <v>1</v>
      </c>
      <c r="AG30" s="414"/>
      <c r="AL30" s="413"/>
    </row>
    <row r="31" spans="1:38" x14ac:dyDescent="0.25">
      <c r="A31" s="823">
        <v>22</v>
      </c>
      <c r="B31" s="1236" t="s">
        <v>63</v>
      </c>
      <c r="C31" s="1236"/>
      <c r="D31" s="1258" t="str">
        <f>VLOOKUP($A31,'Pre-Assessment Estimator'!$A$10:$Z$225,D$2,FALSE)</f>
        <v>Man 05</v>
      </c>
      <c r="E31" s="1258" t="str">
        <f>VLOOKUP($A31,'Pre-Assessment Estimator'!$A$10:$Z$225,E$2,FALSE)</f>
        <v>Man 05 Aftercare</v>
      </c>
      <c r="F31" s="574">
        <f>VLOOKUP($A31,'Pre-Assessment Estimator'!$A$10:$Z$225,F$2,FALSE)</f>
        <v>3</v>
      </c>
      <c r="G31" s="580" t="str">
        <f>IF(VLOOKUP($A31,'Pre-Assessment Estimator'!$A$10:$Z$225,G$2,FALSE)=0,"",VLOOKUP($A31,'Pre-Assessment Estimator'!$A$10:$Z$225,G$2,FALSE))</f>
        <v/>
      </c>
      <c r="H31" s="575" t="str">
        <f>VLOOKUP($A31,'Pre-Assessment Estimator'!$A$10:$Z$225,H$2,FALSE)</f>
        <v>0 c. 0 %</v>
      </c>
      <c r="I31" s="574" t="str">
        <f>VLOOKUP($A31,'Pre-Assessment Estimator'!$A$10:$Z$225,I$2,FALSE)</f>
        <v>N/A</v>
      </c>
      <c r="J31" s="577" t="str">
        <f>IF(VLOOKUP($A31,'Pre-Assessment Estimator'!$A$10:$Z$225,J$2,FALSE)=0,"",VLOOKUP($A31,'Pre-Assessment Estimator'!$A$10:$Z$225,J$2,FALSE))</f>
        <v/>
      </c>
      <c r="K31" s="577" t="str">
        <f>IF(VLOOKUP($A31,'Pre-Assessment Estimator'!$A$10:$Z$225,K$2,FALSE)=0,"",VLOOKUP($A31,'Pre-Assessment Estimator'!$A$10:$Z$225,K$2,FALSE))</f>
        <v/>
      </c>
      <c r="L31" s="578" t="str">
        <f>IF(VLOOKUP($A31,'Pre-Assessment Estimator'!$A$10:$Z$225,L$2,FALSE)=0,"",VLOOKUP($A31,'Pre-Assessment Estimator'!$A$10:$Z$225,L$2,FALSE))</f>
        <v/>
      </c>
      <c r="M31" s="579"/>
      <c r="N31" s="580" t="str">
        <f>IF(VLOOKUP($A31,'Pre-Assessment Estimator'!$A$10:$Z$225,N$2,FALSE)=0,"",VLOOKUP($A31,'Pre-Assessment Estimator'!$A$10:$Z$225,N$2,FALSE))</f>
        <v/>
      </c>
      <c r="O31" s="575" t="str">
        <f>VLOOKUP($A31,'Pre-Assessment Estimator'!$A$10:$Z$225,O$2,FALSE)</f>
        <v>0 c. 0 %</v>
      </c>
      <c r="P31" s="574" t="str">
        <f>VLOOKUP($A31,'Pre-Assessment Estimator'!$A$10:$Z$225,P$2,FALSE)</f>
        <v>N/A</v>
      </c>
      <c r="Q31" s="577" t="str">
        <f>IF(VLOOKUP($A31,'Pre-Assessment Estimator'!$A$10:$Z$225,Q$2,FALSE)=0,"",VLOOKUP($A31,'Pre-Assessment Estimator'!$A$10:$Z$225,Q$2,FALSE))</f>
        <v/>
      </c>
      <c r="R31" s="577" t="str">
        <f>IF(VLOOKUP($A31,'Pre-Assessment Estimator'!$A$10:$Z$225,R$2,FALSE)=0,"",VLOOKUP($A31,'Pre-Assessment Estimator'!$A$10:$Z$225,R$2,FALSE))</f>
        <v/>
      </c>
      <c r="S31" s="578" t="str">
        <f>IF(VLOOKUP($A31,'Pre-Assessment Estimator'!$A$10:$Z$225,S$2,FALSE)=0,"",VLOOKUP($A31,'Pre-Assessment Estimator'!$A$10:$Z$225,S$2,FALSE))</f>
        <v/>
      </c>
      <c r="T31" s="581"/>
      <c r="U31" s="580" t="str">
        <f>IF(VLOOKUP($A31,'Pre-Assessment Estimator'!$A$10:$Z$225,U$2,FALSE)=0,"",VLOOKUP($A31,'Pre-Assessment Estimator'!$A$10:$Z$225,U$2,FALSE))</f>
        <v/>
      </c>
      <c r="V31" s="575" t="str">
        <f>VLOOKUP($A31,'Pre-Assessment Estimator'!$A$10:$Z$225,V$2,FALSE)</f>
        <v>0 c. 0 %</v>
      </c>
      <c r="W31" s="574" t="str">
        <f>VLOOKUP($A31,'Pre-Assessment Estimator'!$A$10:$Z$225,W$2,FALSE)</f>
        <v>N/A</v>
      </c>
      <c r="X31" s="577" t="str">
        <f>IF(VLOOKUP($A31,'Pre-Assessment Estimator'!$A$10:$Z$225,X$2,FALSE)=0,"",VLOOKUP($A31,'Pre-Assessment Estimator'!$A$10:$Z$225,X$2,FALSE))</f>
        <v/>
      </c>
      <c r="Y31" s="577" t="str">
        <f>IF(VLOOKUP($A31,'Pre-Assessment Estimator'!$A$10:$Z$225,Y$2,FALSE)=0,"",VLOOKUP($A31,'Pre-Assessment Estimator'!$A$10:$Z$225,Y$2,FALSE))</f>
        <v/>
      </c>
      <c r="Z31" s="370" t="str">
        <f>IF(VLOOKUP($A31,'Pre-Assessment Estimator'!$A$10:$Z$225,Z$2,FALSE)=0,"",VLOOKUP($A31,'Pre-Assessment Estimator'!$A$10:$Z$225,Z$2,FALSE))</f>
        <v/>
      </c>
      <c r="AA31" s="696">
        <v>22</v>
      </c>
      <c r="AB31" s="577"/>
      <c r="AF31" s="386">
        <f t="shared" si="0"/>
        <v>1</v>
      </c>
      <c r="AG31" s="414"/>
      <c r="AL31" s="413"/>
    </row>
    <row r="32" spans="1:38" x14ac:dyDescent="0.25">
      <c r="A32" s="823">
        <v>23</v>
      </c>
      <c r="B32" s="1236" t="s">
        <v>63</v>
      </c>
      <c r="C32" s="1236"/>
      <c r="D32" s="1259" t="str">
        <f>VLOOKUP($A32,'Pre-Assessment Estimator'!$A$10:$Z$225,D$2,FALSE)</f>
        <v>Man 05</v>
      </c>
      <c r="E32" s="1260" t="str">
        <f>VLOOKUP($A32,'Pre-Assessment Estimator'!$A$10:$Z$225,E$2,FALSE)</f>
        <v>Aftercare support</v>
      </c>
      <c r="F32" s="574">
        <f>VLOOKUP($A32,'Pre-Assessment Estimator'!$A$10:$Z$225,F$2,FALSE)</f>
        <v>1</v>
      </c>
      <c r="G32" s="580" t="str">
        <f>IF(VLOOKUP($A32,'Pre-Assessment Estimator'!$A$10:$Z$225,G$2,FALSE)=0,"",VLOOKUP($A32,'Pre-Assessment Estimator'!$A$10:$Z$225,G$2,FALSE))</f>
        <v/>
      </c>
      <c r="H32" s="575">
        <f>VLOOKUP($A32,'Pre-Assessment Estimator'!$A$10:$Z$225,H$2,FALSE)</f>
        <v>0</v>
      </c>
      <c r="I32" s="574" t="str">
        <f>VLOOKUP($A32,'Pre-Assessment Estimator'!$A$10:$Z$225,I$2,FALSE)</f>
        <v>N/A</v>
      </c>
      <c r="J32" s="577" t="str">
        <f>IF(VLOOKUP($A32,'Pre-Assessment Estimator'!$A$10:$Z$225,J$2,FALSE)=0,"",VLOOKUP($A32,'Pre-Assessment Estimator'!$A$10:$Z$225,J$2,FALSE))</f>
        <v/>
      </c>
      <c r="K32" s="577" t="str">
        <f>IF(VLOOKUP($A32,'Pre-Assessment Estimator'!$A$10:$Z$225,K$2,FALSE)=0,"",VLOOKUP($A32,'Pre-Assessment Estimator'!$A$10:$Z$225,K$2,FALSE))</f>
        <v/>
      </c>
      <c r="L32" s="578" t="str">
        <f>IF(VLOOKUP($A32,'Pre-Assessment Estimator'!$A$10:$Z$225,L$2,FALSE)=0,"",VLOOKUP($A32,'Pre-Assessment Estimator'!$A$10:$Z$225,L$2,FALSE))</f>
        <v/>
      </c>
      <c r="M32" s="579"/>
      <c r="N32" s="580" t="str">
        <f>IF(VLOOKUP($A32,'Pre-Assessment Estimator'!$A$10:$Z$225,N$2,FALSE)=0,"",VLOOKUP($A32,'Pre-Assessment Estimator'!$A$10:$Z$225,N$2,FALSE))</f>
        <v/>
      </c>
      <c r="O32" s="575">
        <f>VLOOKUP($A32,'Pre-Assessment Estimator'!$A$10:$Z$225,O$2,FALSE)</f>
        <v>0</v>
      </c>
      <c r="P32" s="574" t="str">
        <f>VLOOKUP($A32,'Pre-Assessment Estimator'!$A$10:$Z$225,P$2,FALSE)</f>
        <v>N/A</v>
      </c>
      <c r="Q32" s="577" t="str">
        <f>IF(VLOOKUP($A32,'Pre-Assessment Estimator'!$A$10:$Z$225,Q$2,FALSE)=0,"",VLOOKUP($A32,'Pre-Assessment Estimator'!$A$10:$Z$225,Q$2,FALSE))</f>
        <v/>
      </c>
      <c r="R32" s="577" t="str">
        <f>IF(VLOOKUP($A32,'Pre-Assessment Estimator'!$A$10:$Z$225,R$2,FALSE)=0,"",VLOOKUP($A32,'Pre-Assessment Estimator'!$A$10:$Z$225,R$2,FALSE))</f>
        <v/>
      </c>
      <c r="S32" s="578" t="str">
        <f>IF(VLOOKUP($A32,'Pre-Assessment Estimator'!$A$10:$Z$225,S$2,FALSE)=0,"",VLOOKUP($A32,'Pre-Assessment Estimator'!$A$10:$Z$225,S$2,FALSE))</f>
        <v/>
      </c>
      <c r="T32" s="581"/>
      <c r="U32" s="580" t="str">
        <f>IF(VLOOKUP($A32,'Pre-Assessment Estimator'!$A$10:$Z$225,U$2,FALSE)=0,"",VLOOKUP($A32,'Pre-Assessment Estimator'!$A$10:$Z$225,U$2,FALSE))</f>
        <v/>
      </c>
      <c r="V32" s="575">
        <f>VLOOKUP($A32,'Pre-Assessment Estimator'!$A$10:$Z$225,V$2,FALSE)</f>
        <v>0</v>
      </c>
      <c r="W32" s="574" t="str">
        <f>VLOOKUP($A32,'Pre-Assessment Estimator'!$A$10:$Z$225,W$2,FALSE)</f>
        <v>N/A</v>
      </c>
      <c r="X32" s="577" t="str">
        <f>IF(VLOOKUP($A32,'Pre-Assessment Estimator'!$A$10:$Z$225,X$2,FALSE)=0,"",VLOOKUP($A32,'Pre-Assessment Estimator'!$A$10:$Z$225,X$2,FALSE))</f>
        <v/>
      </c>
      <c r="Y32" s="577" t="str">
        <f>IF(VLOOKUP($A32,'Pre-Assessment Estimator'!$A$10:$Z$225,Y$2,FALSE)=0,"",VLOOKUP($A32,'Pre-Assessment Estimator'!$A$10:$Z$225,Y$2,FALSE))</f>
        <v/>
      </c>
      <c r="Z32" s="370" t="str">
        <f>IF(VLOOKUP($A32,'Pre-Assessment Estimator'!$A$10:$Z$225,Z$2,FALSE)=0,"",VLOOKUP($A32,'Pre-Assessment Estimator'!$A$10:$Z$225,Z$2,FALSE))</f>
        <v/>
      </c>
      <c r="AA32" s="696">
        <v>23</v>
      </c>
      <c r="AB32" s="577"/>
      <c r="AF32" s="386">
        <f t="shared" si="0"/>
        <v>1</v>
      </c>
      <c r="AG32" s="414"/>
      <c r="AL32" s="413"/>
    </row>
    <row r="33" spans="1:42" x14ac:dyDescent="0.25">
      <c r="A33" s="823">
        <v>24</v>
      </c>
      <c r="B33" s="1236" t="s">
        <v>63</v>
      </c>
      <c r="C33" s="1236"/>
      <c r="D33" s="1259" t="str">
        <f>VLOOKUP($A33,'Pre-Assessment Estimator'!$A$10:$Z$225,D$2,FALSE)</f>
        <v>Man 05</v>
      </c>
      <c r="E33" s="1260" t="str">
        <f>VLOOKUP($A33,'Pre-Assessment Estimator'!$A$10:$Z$225,E$2,FALSE)</f>
        <v>Sesonal commisioning</v>
      </c>
      <c r="F33" s="574">
        <f>VLOOKUP($A33,'Pre-Assessment Estimator'!$A$10:$Z$225,F$2,FALSE)</f>
        <v>1</v>
      </c>
      <c r="G33" s="580" t="str">
        <f>IF(VLOOKUP($A33,'Pre-Assessment Estimator'!$A$10:$Z$225,G$2,FALSE)=0,"",VLOOKUP($A33,'Pre-Assessment Estimator'!$A$10:$Z$225,G$2,FALSE))</f>
        <v/>
      </c>
      <c r="H33" s="575">
        <f>VLOOKUP($A33,'Pre-Assessment Estimator'!$A$10:$Z$225,H$2,FALSE)</f>
        <v>0</v>
      </c>
      <c r="I33" s="574" t="str">
        <f>VLOOKUP($A33,'Pre-Assessment Estimator'!$A$10:$Z$225,I$2,FALSE)</f>
        <v>Very Good</v>
      </c>
      <c r="J33" s="577" t="str">
        <f>IF(VLOOKUP($A33,'Pre-Assessment Estimator'!$A$10:$Z$225,J$2,FALSE)=0,"",VLOOKUP($A33,'Pre-Assessment Estimator'!$A$10:$Z$225,J$2,FALSE))</f>
        <v/>
      </c>
      <c r="K33" s="577" t="str">
        <f>IF(VLOOKUP($A33,'Pre-Assessment Estimator'!$A$10:$Z$225,K$2,FALSE)=0,"",VLOOKUP($A33,'Pre-Assessment Estimator'!$A$10:$Z$225,K$2,FALSE))</f>
        <v/>
      </c>
      <c r="L33" s="578" t="str">
        <f>IF(VLOOKUP($A33,'Pre-Assessment Estimator'!$A$10:$Z$225,L$2,FALSE)=0,"",VLOOKUP($A33,'Pre-Assessment Estimator'!$A$10:$Z$225,L$2,FALSE))</f>
        <v/>
      </c>
      <c r="M33" s="579"/>
      <c r="N33" s="580" t="str">
        <f>IF(VLOOKUP($A33,'Pre-Assessment Estimator'!$A$10:$Z$225,N$2,FALSE)=0,"",VLOOKUP($A33,'Pre-Assessment Estimator'!$A$10:$Z$225,N$2,FALSE))</f>
        <v/>
      </c>
      <c r="O33" s="575">
        <f>VLOOKUP($A33,'Pre-Assessment Estimator'!$A$10:$Z$225,O$2,FALSE)</f>
        <v>0</v>
      </c>
      <c r="P33" s="574" t="str">
        <f>VLOOKUP($A33,'Pre-Assessment Estimator'!$A$10:$Z$225,P$2,FALSE)</f>
        <v>Very Good</v>
      </c>
      <c r="Q33" s="577" t="str">
        <f>IF(VLOOKUP($A33,'Pre-Assessment Estimator'!$A$10:$Z$225,Q$2,FALSE)=0,"",VLOOKUP($A33,'Pre-Assessment Estimator'!$A$10:$Z$225,Q$2,FALSE))</f>
        <v/>
      </c>
      <c r="R33" s="577" t="str">
        <f>IF(VLOOKUP($A33,'Pre-Assessment Estimator'!$A$10:$Z$225,R$2,FALSE)=0,"",VLOOKUP($A33,'Pre-Assessment Estimator'!$A$10:$Z$225,R$2,FALSE))</f>
        <v/>
      </c>
      <c r="S33" s="578" t="str">
        <f>IF(VLOOKUP($A33,'Pre-Assessment Estimator'!$A$10:$Z$225,S$2,FALSE)=0,"",VLOOKUP($A33,'Pre-Assessment Estimator'!$A$10:$Z$225,S$2,FALSE))</f>
        <v/>
      </c>
      <c r="T33" s="581"/>
      <c r="U33" s="580" t="str">
        <f>IF(VLOOKUP($A33,'Pre-Assessment Estimator'!$A$10:$Z$225,U$2,FALSE)=0,"",VLOOKUP($A33,'Pre-Assessment Estimator'!$A$10:$Z$225,U$2,FALSE))</f>
        <v/>
      </c>
      <c r="V33" s="575">
        <f>VLOOKUP($A33,'Pre-Assessment Estimator'!$A$10:$Z$225,V$2,FALSE)</f>
        <v>0</v>
      </c>
      <c r="W33" s="574" t="str">
        <f>VLOOKUP($A33,'Pre-Assessment Estimator'!$A$10:$Z$225,W$2,FALSE)</f>
        <v>Very Good</v>
      </c>
      <c r="X33" s="577" t="str">
        <f>IF(VLOOKUP($A33,'Pre-Assessment Estimator'!$A$10:$Z$225,X$2,FALSE)=0,"",VLOOKUP($A33,'Pre-Assessment Estimator'!$A$10:$Z$225,X$2,FALSE))</f>
        <v/>
      </c>
      <c r="Y33" s="577" t="str">
        <f>IF(VLOOKUP($A33,'Pre-Assessment Estimator'!$A$10:$Z$225,Y$2,FALSE)=0,"",VLOOKUP($A33,'Pre-Assessment Estimator'!$A$10:$Z$225,Y$2,FALSE))</f>
        <v/>
      </c>
      <c r="Z33" s="370" t="str">
        <f>IF(VLOOKUP($A33,'Pre-Assessment Estimator'!$A$10:$Z$225,Z$2,FALSE)=0,"",VLOOKUP($A33,'Pre-Assessment Estimator'!$A$10:$Z$225,Z$2,FALSE))</f>
        <v/>
      </c>
      <c r="AA33" s="696">
        <v>24</v>
      </c>
      <c r="AB33" s="577"/>
      <c r="AF33" s="386">
        <f t="shared" si="0"/>
        <v>1</v>
      </c>
      <c r="AG33" s="414"/>
      <c r="AL33" s="413"/>
    </row>
    <row r="34" spans="1:42" x14ac:dyDescent="0.25">
      <c r="A34" s="823">
        <v>25</v>
      </c>
      <c r="B34" s="1236" t="s">
        <v>63</v>
      </c>
      <c r="C34" s="1236"/>
      <c r="D34" s="1259" t="str">
        <f>VLOOKUP($A34,'Pre-Assessment Estimator'!$A$10:$Z$225,D$2,FALSE)</f>
        <v>Man 05</v>
      </c>
      <c r="E34" s="1260" t="str">
        <f>VLOOKUP($A34,'Pre-Assessment Estimator'!$A$10:$Z$225,E$2,FALSE)</f>
        <v>Post-occypancy evaluation</v>
      </c>
      <c r="F34" s="574">
        <f>VLOOKUP($A34,'Pre-Assessment Estimator'!$A$10:$Z$225,F$2,FALSE)</f>
        <v>1</v>
      </c>
      <c r="G34" s="580" t="str">
        <f>IF(VLOOKUP($A34,'Pre-Assessment Estimator'!$A$10:$Z$225,G$2,FALSE)=0,"",VLOOKUP($A34,'Pre-Assessment Estimator'!$A$10:$Z$225,G$2,FALSE))</f>
        <v/>
      </c>
      <c r="H34" s="575">
        <f>VLOOKUP($A34,'Pre-Assessment Estimator'!$A$10:$Z$225,H$2,FALSE)</f>
        <v>0</v>
      </c>
      <c r="I34" s="574" t="str">
        <f>VLOOKUP($A34,'Pre-Assessment Estimator'!$A$10:$Z$225,I$2,FALSE)</f>
        <v>N/A</v>
      </c>
      <c r="J34" s="577" t="str">
        <f>IF(VLOOKUP($A34,'Pre-Assessment Estimator'!$A$10:$Z$225,J$2,FALSE)=0,"",VLOOKUP($A34,'Pre-Assessment Estimator'!$A$10:$Z$225,J$2,FALSE))</f>
        <v/>
      </c>
      <c r="K34" s="577" t="str">
        <f>IF(VLOOKUP($A34,'Pre-Assessment Estimator'!$A$10:$Z$225,K$2,FALSE)=0,"",VLOOKUP($A34,'Pre-Assessment Estimator'!$A$10:$Z$225,K$2,FALSE))</f>
        <v/>
      </c>
      <c r="L34" s="578" t="str">
        <f>IF(VLOOKUP($A34,'Pre-Assessment Estimator'!$A$10:$Z$225,L$2,FALSE)=0,"",VLOOKUP($A34,'Pre-Assessment Estimator'!$A$10:$Z$225,L$2,FALSE))</f>
        <v/>
      </c>
      <c r="M34" s="579"/>
      <c r="N34" s="580" t="str">
        <f>IF(VLOOKUP($A34,'Pre-Assessment Estimator'!$A$10:$Z$225,N$2,FALSE)=0,"",VLOOKUP($A34,'Pre-Assessment Estimator'!$A$10:$Z$225,N$2,FALSE))</f>
        <v/>
      </c>
      <c r="O34" s="575">
        <f>VLOOKUP($A34,'Pre-Assessment Estimator'!$A$10:$Z$225,O$2,FALSE)</f>
        <v>0</v>
      </c>
      <c r="P34" s="574" t="str">
        <f>VLOOKUP($A34,'Pre-Assessment Estimator'!$A$10:$Z$225,P$2,FALSE)</f>
        <v>N/A</v>
      </c>
      <c r="Q34" s="577" t="str">
        <f>IF(VLOOKUP($A34,'Pre-Assessment Estimator'!$A$10:$Z$225,Q$2,FALSE)=0,"",VLOOKUP($A34,'Pre-Assessment Estimator'!$A$10:$Z$225,Q$2,FALSE))</f>
        <v/>
      </c>
      <c r="R34" s="577" t="str">
        <f>IF(VLOOKUP($A34,'Pre-Assessment Estimator'!$A$10:$Z$225,R$2,FALSE)=0,"",VLOOKUP($A34,'Pre-Assessment Estimator'!$A$10:$Z$225,R$2,FALSE))</f>
        <v/>
      </c>
      <c r="S34" s="578" t="str">
        <f>IF(VLOOKUP($A34,'Pre-Assessment Estimator'!$A$10:$Z$225,S$2,FALSE)=0,"",VLOOKUP($A34,'Pre-Assessment Estimator'!$A$10:$Z$225,S$2,FALSE))</f>
        <v/>
      </c>
      <c r="T34" s="581"/>
      <c r="U34" s="580" t="str">
        <f>IF(VLOOKUP($A34,'Pre-Assessment Estimator'!$A$10:$Z$225,U$2,FALSE)=0,"",VLOOKUP($A34,'Pre-Assessment Estimator'!$A$10:$Z$225,U$2,FALSE))</f>
        <v/>
      </c>
      <c r="V34" s="575">
        <f>VLOOKUP($A34,'Pre-Assessment Estimator'!$A$10:$Z$225,V$2,FALSE)</f>
        <v>0</v>
      </c>
      <c r="W34" s="574" t="str">
        <f>VLOOKUP($A34,'Pre-Assessment Estimator'!$A$10:$Z$225,W$2,FALSE)</f>
        <v>N/A</v>
      </c>
      <c r="X34" s="577" t="str">
        <f>IF(VLOOKUP($A34,'Pre-Assessment Estimator'!$A$10:$Z$225,X$2,FALSE)=0,"",VLOOKUP($A34,'Pre-Assessment Estimator'!$A$10:$Z$225,X$2,FALSE))</f>
        <v/>
      </c>
      <c r="Y34" s="577" t="str">
        <f>IF(VLOOKUP($A34,'Pre-Assessment Estimator'!$A$10:$Z$225,Y$2,FALSE)=0,"",VLOOKUP($A34,'Pre-Assessment Estimator'!$A$10:$Z$225,Y$2,FALSE))</f>
        <v/>
      </c>
      <c r="Z34" s="370" t="str">
        <f>IF(VLOOKUP($A34,'Pre-Assessment Estimator'!$A$10:$Z$225,Z$2,FALSE)=0,"",VLOOKUP($A34,'Pre-Assessment Estimator'!$A$10:$Z$225,Z$2,FALSE))</f>
        <v/>
      </c>
      <c r="AA34" s="696">
        <v>25</v>
      </c>
      <c r="AB34" s="577"/>
      <c r="AF34" s="386">
        <f t="shared" si="0"/>
        <v>1</v>
      </c>
      <c r="AG34" s="414"/>
      <c r="AL34" s="413"/>
    </row>
    <row r="35" spans="1:42" ht="30.75" thickBot="1" x14ac:dyDescent="0.3">
      <c r="A35" s="823">
        <v>26</v>
      </c>
      <c r="B35" s="1236" t="s">
        <v>63</v>
      </c>
      <c r="C35" s="1236"/>
      <c r="D35" s="1261"/>
      <c r="E35" s="1261" t="str">
        <f>VLOOKUP($A35,'Pre-Assessment Estimator'!$A$10:$Z$225,E$2,FALSE)</f>
        <v>Total performance management</v>
      </c>
      <c r="F35" s="582">
        <f>VLOOKUP($A35,'Pre-Assessment Estimator'!$A$10:$Z$225,F$2,FALSE)</f>
        <v>21</v>
      </c>
      <c r="G35" s="584" t="str">
        <f>IF(VLOOKUP($A35,'Pre-Assessment Estimator'!$A$10:$Z$225,G$2,FALSE)=0,"",VLOOKUP($A35,'Pre-Assessment Estimator'!$A$10:$Z$225,G$2,FALSE))</f>
        <v/>
      </c>
      <c r="H35" s="583">
        <f>VLOOKUP($A35,'Pre-Assessment Estimator'!$A$10:$Z$225,H$2,FALSE)</f>
        <v>0</v>
      </c>
      <c r="I35" s="582" t="str">
        <f>VLOOKUP($A35,'Pre-Assessment Estimator'!$A$10:$Z$225,I$2,FALSE)</f>
        <v>Credits achieved: 0</v>
      </c>
      <c r="J35" s="1204" t="str">
        <f>IF(VLOOKUP($A35,'Pre-Assessment Estimator'!$A$10:$Z$225,J$2,FALSE)=0,"",VLOOKUP($A35,'Pre-Assessment Estimator'!$A$10:$Z$225,J$2,FALSE))</f>
        <v/>
      </c>
      <c r="K35" s="1204" t="str">
        <f>IF(VLOOKUP($A35,'Pre-Assessment Estimator'!$A$10:$Z$225,K$2,FALSE)=0,"",VLOOKUP($A35,'Pre-Assessment Estimator'!$A$10:$Z$225,K$2,FALSE))</f>
        <v/>
      </c>
      <c r="L35" s="1223" t="str">
        <f>IF(VLOOKUP($A35,'Pre-Assessment Estimator'!$A$10:$Z$225,L$2,FALSE)=0,"",VLOOKUP($A35,'Pre-Assessment Estimator'!$A$10:$Z$225,L$2,FALSE))</f>
        <v/>
      </c>
      <c r="M35" s="1224"/>
      <c r="N35" s="584" t="str">
        <f>IF(VLOOKUP($A35,'Pre-Assessment Estimator'!$A$10:$Z$225,N$2,FALSE)=0,"",VLOOKUP($A35,'Pre-Assessment Estimator'!$A$10:$Z$225,N$2,FALSE))</f>
        <v/>
      </c>
      <c r="O35" s="583">
        <f>VLOOKUP($A35,'Pre-Assessment Estimator'!$A$10:$Z$225,O$2,FALSE)</f>
        <v>0</v>
      </c>
      <c r="P35" s="582" t="str">
        <f>VLOOKUP($A35,'Pre-Assessment Estimator'!$A$10:$Z$225,P$2,FALSE)</f>
        <v>Credits achieved: 0</v>
      </c>
      <c r="Q35" s="1204" t="str">
        <f>IF(VLOOKUP($A35,'Pre-Assessment Estimator'!$A$10:$Z$225,Q$2,FALSE)=0,"",VLOOKUP($A35,'Pre-Assessment Estimator'!$A$10:$Z$225,Q$2,FALSE))</f>
        <v/>
      </c>
      <c r="R35" s="1204" t="str">
        <f>IF(VLOOKUP($A35,'Pre-Assessment Estimator'!$A$10:$Z$225,R$2,FALSE)=0,"",VLOOKUP($A35,'Pre-Assessment Estimator'!$A$10:$Z$225,R$2,FALSE))</f>
        <v/>
      </c>
      <c r="S35" s="1223" t="str">
        <f>IF(VLOOKUP($A35,'Pre-Assessment Estimator'!$A$10:$Z$225,S$2,FALSE)=0,"",VLOOKUP($A35,'Pre-Assessment Estimator'!$A$10:$Z$225,S$2,FALSE))</f>
        <v/>
      </c>
      <c r="T35" s="1225"/>
      <c r="U35" s="584" t="str">
        <f>IF(VLOOKUP($A35,'Pre-Assessment Estimator'!$A$10:$Z$225,U$2,FALSE)=0,"",VLOOKUP($A35,'Pre-Assessment Estimator'!$A$10:$Z$225,U$2,FALSE))</f>
        <v/>
      </c>
      <c r="V35" s="583">
        <f>VLOOKUP($A35,'Pre-Assessment Estimator'!$A$10:$Z$225,V$2,FALSE)</f>
        <v>0</v>
      </c>
      <c r="W35" s="582" t="str">
        <f>VLOOKUP($A35,'Pre-Assessment Estimator'!$A$10:$Z$225,W$2,FALSE)</f>
        <v>Credits achieved: 0</v>
      </c>
      <c r="X35" s="1204" t="str">
        <f>IF(VLOOKUP($A35,'Pre-Assessment Estimator'!$A$10:$Z$225,X$2,FALSE)=0,"",VLOOKUP($A35,'Pre-Assessment Estimator'!$A$10:$Z$225,X$2,FALSE))</f>
        <v/>
      </c>
      <c r="Y35" s="1204" t="str">
        <f>IF(VLOOKUP($A35,'Pre-Assessment Estimator'!$A$10:$Z$225,Y$2,FALSE)=0,"",VLOOKUP($A35,'Pre-Assessment Estimator'!$A$10:$Z$225,Y$2,FALSE))</f>
        <v/>
      </c>
      <c r="Z35" s="1226" t="str">
        <f>IF(VLOOKUP($A35,'Pre-Assessment Estimator'!$A$10:$Z$225,Z$2,FALSE)=0,"",VLOOKUP($A35,'Pre-Assessment Estimator'!$A$10:$Z$225,Z$2,FALSE))</f>
        <v/>
      </c>
      <c r="AA35" s="696">
        <v>26</v>
      </c>
      <c r="AB35" s="577" t="str">
        <f>IF(VLOOKUP($A35,'Pre-Assessment Estimator'!$A$10:$AB$225,AB$2,FALSE)=0,"",VLOOKUP($A35,'Pre-Assessment Estimator'!$A$10:$AB$225,AB$2,FALSE))</f>
        <v/>
      </c>
      <c r="AF35" s="386">
        <f t="shared" si="0"/>
        <v>1</v>
      </c>
      <c r="AG35" s="414"/>
      <c r="AL35" s="413"/>
    </row>
    <row r="36" spans="1:42" x14ac:dyDescent="0.25">
      <c r="A36" s="823">
        <v>27</v>
      </c>
      <c r="B36" s="1236" t="s">
        <v>63</v>
      </c>
      <c r="C36" s="1236"/>
      <c r="D36" s="585"/>
      <c r="E36" s="585"/>
      <c r="F36" s="586"/>
      <c r="G36" s="586"/>
      <c r="H36" s="586"/>
      <c r="I36" s="586"/>
      <c r="J36" s="585"/>
      <c r="K36" s="586"/>
      <c r="L36" s="585"/>
      <c r="M36" s="579"/>
      <c r="N36" s="586"/>
      <c r="O36" s="586"/>
      <c r="P36" s="586"/>
      <c r="Q36" s="585"/>
      <c r="R36" s="586"/>
      <c r="S36" s="585"/>
      <c r="T36" s="581"/>
      <c r="U36" s="586"/>
      <c r="V36" s="586"/>
      <c r="W36" s="586"/>
      <c r="X36" s="585"/>
      <c r="Y36" s="586"/>
      <c r="Z36" s="343"/>
      <c r="AA36" s="696">
        <v>27</v>
      </c>
      <c r="AB36" s="585"/>
      <c r="AC36" s="389"/>
      <c r="AD36" s="389"/>
      <c r="AE36" s="389"/>
      <c r="AF36" s="386">
        <f t="shared" si="0"/>
        <v>1</v>
      </c>
      <c r="AL36" s="413"/>
      <c r="AN36" s="386"/>
      <c r="AP36" s="386"/>
    </row>
    <row r="37" spans="1:42" ht="18.75" x14ac:dyDescent="0.25">
      <c r="A37" s="823">
        <v>28</v>
      </c>
      <c r="B37" s="1236" t="s">
        <v>66</v>
      </c>
      <c r="C37" s="1236"/>
      <c r="D37" s="587"/>
      <c r="E37" s="587" t="s">
        <v>66</v>
      </c>
      <c r="F37" s="570"/>
      <c r="G37" s="570"/>
      <c r="H37" s="570"/>
      <c r="I37" s="570"/>
      <c r="J37" s="571" t="str">
        <f>IF(VLOOKUP($A37,'Pre-Assessment Estimator'!$A$10:$Z$225,J$2,FALSE)=0,"",VLOOKUP($A37,'Pre-Assessment Estimator'!$A$10:$Z$225,J$2,FALSE))</f>
        <v/>
      </c>
      <c r="K37" s="570" t="str">
        <f>IF(VLOOKUP($A37,'Pre-Assessment Estimator'!$A$10:$Z$225,K$2,FALSE)=0,"",VLOOKUP($A37,'Pre-Assessment Estimator'!$A$10:$Z$225,K$2,FALSE))</f>
        <v/>
      </c>
      <c r="L37" s="571" t="str">
        <f>IF(VLOOKUP($A37,'Pre-Assessment Estimator'!$A$10:$Z$225,L$2,FALSE)=0,"",VLOOKUP($A37,'Pre-Assessment Estimator'!$A$10:$Z$225,L$2,FALSE))</f>
        <v/>
      </c>
      <c r="M37" s="579"/>
      <c r="N37" s="570" t="str">
        <f>IF(VLOOKUP($A37,'Pre-Assessment Estimator'!$A$10:$Z$225,N$2,FALSE)=0,"",VLOOKUP($A37,'Pre-Assessment Estimator'!$A$10:$Z$225,N$2,FALSE))</f>
        <v/>
      </c>
      <c r="O37" s="570"/>
      <c r="P37" s="570"/>
      <c r="Q37" s="571" t="str">
        <f>IF(VLOOKUP($A37,'Pre-Assessment Estimator'!$A$10:$Z$225,Q$2,FALSE)=0,"",VLOOKUP($A37,'Pre-Assessment Estimator'!$A$10:$Z$225,Q$2,FALSE))</f>
        <v/>
      </c>
      <c r="R37" s="570" t="str">
        <f>IF(VLOOKUP($A37,'Pre-Assessment Estimator'!$A$10:$Z$225,R$2,FALSE)=0,"",VLOOKUP($A37,'Pre-Assessment Estimator'!$A$10:$Z$225,R$2,FALSE))</f>
        <v/>
      </c>
      <c r="S37" s="571" t="str">
        <f>IF(VLOOKUP($A37,'Pre-Assessment Estimator'!$A$10:$Z$225,S$2,FALSE)=0,"",VLOOKUP($A37,'Pre-Assessment Estimator'!$A$10:$Z$225,S$2,FALSE))</f>
        <v/>
      </c>
      <c r="T37" s="581"/>
      <c r="U37" s="570" t="str">
        <f>IF(VLOOKUP($A37,'Pre-Assessment Estimator'!$A$10:$Z$225,U$2,FALSE)=0,"",VLOOKUP($A37,'Pre-Assessment Estimator'!$A$10:$Z$225,U$2,FALSE))</f>
        <v/>
      </c>
      <c r="V37" s="570"/>
      <c r="W37" s="570"/>
      <c r="X37" s="571" t="str">
        <f>IF(VLOOKUP($A37,'Pre-Assessment Estimator'!$A$10:$Z$225,X$2,FALSE)=0,"",VLOOKUP($A37,'Pre-Assessment Estimator'!$A$10:$Z$225,X$2,FALSE))</f>
        <v/>
      </c>
      <c r="Y37" s="570" t="str">
        <f>IF(VLOOKUP($A37,'Pre-Assessment Estimator'!$A$10:$Z$225,Y$2,FALSE)=0,"",VLOOKUP($A37,'Pre-Assessment Estimator'!$A$10:$Z$225,Y$2,FALSE))</f>
        <v/>
      </c>
      <c r="Z37" s="411" t="str">
        <f>IF(VLOOKUP($A37,'Pre-Assessment Estimator'!$A$10:$Z$225,Z$2,FALSE)=0,"",VLOOKUP($A37,'Pre-Assessment Estimator'!$A$10:$Z$225,Z$2,FALSE))</f>
        <v/>
      </c>
      <c r="AA37" s="696">
        <v>28</v>
      </c>
      <c r="AB37" s="697"/>
      <c r="AF37" s="386">
        <f t="shared" si="0"/>
        <v>1</v>
      </c>
      <c r="AL37" s="413"/>
      <c r="AN37" s="386"/>
      <c r="AP37" s="386"/>
    </row>
    <row r="38" spans="1:42" x14ac:dyDescent="0.25">
      <c r="A38" s="823">
        <v>29</v>
      </c>
      <c r="B38" s="1236" t="s">
        <v>66</v>
      </c>
      <c r="C38" s="1236"/>
      <c r="D38" s="1258" t="str">
        <f>VLOOKUP($A38,'Pre-Assessment Estimator'!$A$10:$Z$225,D$2,FALSE)</f>
        <v>Hea 01</v>
      </c>
      <c r="E38" s="1258" t="str">
        <f>VLOOKUP($A38,'Pre-Assessment Estimator'!$A$10:$Z$225,E$2,FALSE)</f>
        <v>Hea 01 Visual comfort</v>
      </c>
      <c r="F38" s="574">
        <f>VLOOKUP($A38,'Pre-Assessment Estimator'!$A$10:$Z$225,F$2,FALSE)</f>
        <v>7</v>
      </c>
      <c r="G38" s="580" t="str">
        <f>IF(VLOOKUP($A38,'Pre-Assessment Estimator'!$A$10:$Z$225,G$2,FALSE)=0,"",VLOOKUP($A38,'Pre-Assessment Estimator'!$A$10:$Z$225,G$2,FALSE))</f>
        <v/>
      </c>
      <c r="H38" s="1222" t="str">
        <f>VLOOKUP($A38,'Pre-Assessment Estimator'!$A$10:$Z$225,H$2,FALSE)</f>
        <v>0 c. 0 %</v>
      </c>
      <c r="I38" s="576" t="str">
        <f>VLOOKUP($A38,'Pre-Assessment Estimator'!$A$10:$Z$225,I$2,FALSE)</f>
        <v>N/A</v>
      </c>
      <c r="J38" s="577" t="str">
        <f>IF(VLOOKUP($A38,'Pre-Assessment Estimator'!$A$10:$Z$225,J$2,FALSE)=0,"",VLOOKUP($A38,'Pre-Assessment Estimator'!$A$10:$Z$225,J$2,FALSE))</f>
        <v/>
      </c>
      <c r="K38" s="577" t="str">
        <f>IF(VLOOKUP($A38,'Pre-Assessment Estimator'!$A$10:$Z$225,K$2,FALSE)=0,"",VLOOKUP($A38,'Pre-Assessment Estimator'!$A$10:$Z$225,K$2,FALSE))</f>
        <v/>
      </c>
      <c r="L38" s="578" t="str">
        <f>IF(VLOOKUP($A38,'Pre-Assessment Estimator'!$A$10:$Z$225,L$2,FALSE)=0,"",VLOOKUP($A38,'Pre-Assessment Estimator'!$A$10:$Z$225,L$2,FALSE))</f>
        <v/>
      </c>
      <c r="M38" s="579"/>
      <c r="N38" s="580" t="str">
        <f>IF(VLOOKUP($A38,'Pre-Assessment Estimator'!$A$10:$Z$225,N$2,FALSE)=0,"",VLOOKUP($A38,'Pre-Assessment Estimator'!$A$10:$Z$225,N$2,FALSE))</f>
        <v/>
      </c>
      <c r="O38" s="575" t="str">
        <f>VLOOKUP($A38,'Pre-Assessment Estimator'!$A$10:$Z$225,O$2,FALSE)</f>
        <v>0 c. 0 %</v>
      </c>
      <c r="P38" s="574" t="str">
        <f>VLOOKUP($A38,'Pre-Assessment Estimator'!$A$10:$Z$225,P$2,FALSE)</f>
        <v>N/A</v>
      </c>
      <c r="Q38" s="577" t="str">
        <f>IF(VLOOKUP($A38,'Pre-Assessment Estimator'!$A$10:$Z$225,Q$2,FALSE)=0,"",VLOOKUP($A38,'Pre-Assessment Estimator'!$A$10:$Z$225,Q$2,FALSE))</f>
        <v/>
      </c>
      <c r="R38" s="577" t="str">
        <f>IF(VLOOKUP($A38,'Pre-Assessment Estimator'!$A$10:$Z$225,R$2,FALSE)=0,"",VLOOKUP($A38,'Pre-Assessment Estimator'!$A$10:$Z$225,R$2,FALSE))</f>
        <v/>
      </c>
      <c r="S38" s="578" t="str">
        <f>IF(VLOOKUP($A38,'Pre-Assessment Estimator'!$A$10:$Z$225,S$2,FALSE)=0,"",VLOOKUP($A38,'Pre-Assessment Estimator'!$A$10:$Z$225,S$2,FALSE))</f>
        <v/>
      </c>
      <c r="T38" s="581"/>
      <c r="U38" s="580" t="str">
        <f>IF(VLOOKUP($A38,'Pre-Assessment Estimator'!$A$10:$Z$225,U$2,FALSE)=0,"",VLOOKUP($A38,'Pre-Assessment Estimator'!$A$10:$Z$225,U$2,FALSE))</f>
        <v/>
      </c>
      <c r="V38" s="575" t="str">
        <f>VLOOKUP($A38,'Pre-Assessment Estimator'!$A$10:$Z$225,V$2,FALSE)</f>
        <v>0 c. 0 %</v>
      </c>
      <c r="W38" s="574" t="str">
        <f>VLOOKUP($A38,'Pre-Assessment Estimator'!$A$10:$Z$225,W$2,FALSE)</f>
        <v>N/A</v>
      </c>
      <c r="X38" s="577" t="str">
        <f>IF(VLOOKUP($A38,'Pre-Assessment Estimator'!$A$10:$Z$225,X$2,FALSE)=0,"",VLOOKUP($A38,'Pre-Assessment Estimator'!$A$10:$Z$225,X$2,FALSE))</f>
        <v/>
      </c>
      <c r="Y38" s="577" t="str">
        <f>IF(VLOOKUP($A38,'Pre-Assessment Estimator'!$A$10:$Z$225,Y$2,FALSE)=0,"",VLOOKUP($A38,'Pre-Assessment Estimator'!$A$10:$Z$225,Y$2,FALSE))</f>
        <v/>
      </c>
      <c r="Z38" s="370" t="str">
        <f>IF(VLOOKUP($A38,'Pre-Assessment Estimator'!$A$10:$Z$225,Z$2,FALSE)=0,"",VLOOKUP($A38,'Pre-Assessment Estimator'!$A$10:$Z$225,Z$2,FALSE))</f>
        <v/>
      </c>
      <c r="AA38" s="696">
        <v>29</v>
      </c>
      <c r="AB38" s="577" t="str">
        <f>IF(VLOOKUP($A38,'Pre-Assessment Estimator'!$A$10:$AB$225,AB$2,FALSE)=0,"",VLOOKUP($A38,'Pre-Assessment Estimator'!$A$10:$AB$225,AB$2,FALSE))</f>
        <v/>
      </c>
      <c r="AF38" s="386">
        <f t="shared" si="0"/>
        <v>1</v>
      </c>
      <c r="AN38" s="386"/>
      <c r="AP38" s="386"/>
    </row>
    <row r="39" spans="1:42" x14ac:dyDescent="0.25">
      <c r="A39" s="823">
        <v>30</v>
      </c>
      <c r="B39" s="1236" t="s">
        <v>66</v>
      </c>
      <c r="C39" s="1236"/>
      <c r="D39" s="1259" t="str">
        <f>VLOOKUP($A39,'Pre-Assessment Estimator'!$A$10:$Z$225,D$2,FALSE)</f>
        <v>Hea 01</v>
      </c>
      <c r="E39" s="1260" t="str">
        <f>VLOOKUP($A39,'Pre-Assessment Estimator'!$A$10:$Z$225,E$2,FALSE)</f>
        <v>Pre-requisite: limitation of light flicker and stroboscopic effect</v>
      </c>
      <c r="F39" s="574" t="str">
        <f>VLOOKUP($A39,'Pre-Assessment Estimator'!$A$10:$Z$225,F$2,FALSE)</f>
        <v>Yes/No</v>
      </c>
      <c r="G39" s="580" t="str">
        <f>IF(VLOOKUP($A39,'Pre-Assessment Estimator'!$A$10:$Z$225,G$2,FALSE)=0,"",VLOOKUP($A39,'Pre-Assessment Estimator'!$A$10:$Z$225,G$2,FALSE))</f>
        <v/>
      </c>
      <c r="H39" s="1222" t="str">
        <f>VLOOKUP($A39,'Pre-Assessment Estimator'!$A$10:$Z$225,H$2,FALSE)</f>
        <v>-</v>
      </c>
      <c r="I39" s="576" t="str">
        <f>VLOOKUP($A39,'Pre-Assessment Estimator'!$A$10:$Z$225,I$2,FALSE)</f>
        <v>Unclassified</v>
      </c>
      <c r="J39" s="577" t="str">
        <f>IF(VLOOKUP($A39,'Pre-Assessment Estimator'!$A$10:$Z$225,J$2,FALSE)=0,"",VLOOKUP($A39,'Pre-Assessment Estimator'!$A$10:$Z$225,J$2,FALSE))</f>
        <v/>
      </c>
      <c r="K39" s="577" t="str">
        <f>IF(VLOOKUP($A39,'Pre-Assessment Estimator'!$A$10:$Z$225,K$2,FALSE)=0,"",VLOOKUP($A39,'Pre-Assessment Estimator'!$A$10:$Z$225,K$2,FALSE))</f>
        <v/>
      </c>
      <c r="L39" s="578" t="str">
        <f>IF(VLOOKUP($A39,'Pre-Assessment Estimator'!$A$10:$Z$225,L$2,FALSE)=0,"",VLOOKUP($A39,'Pre-Assessment Estimator'!$A$10:$Z$225,L$2,FALSE))</f>
        <v/>
      </c>
      <c r="M39" s="579"/>
      <c r="N39" s="580" t="str">
        <f>IF(VLOOKUP($A39,'Pre-Assessment Estimator'!$A$10:$Z$225,N$2,FALSE)=0,"",VLOOKUP($A39,'Pre-Assessment Estimator'!$A$10:$Z$225,N$2,FALSE))</f>
        <v/>
      </c>
      <c r="O39" s="575" t="str">
        <f>VLOOKUP($A39,'Pre-Assessment Estimator'!$A$10:$Z$225,O$2,FALSE)</f>
        <v>-</v>
      </c>
      <c r="P39" s="574" t="str">
        <f>VLOOKUP($A39,'Pre-Assessment Estimator'!$A$10:$Z$225,P$2,FALSE)</f>
        <v>Unclassified</v>
      </c>
      <c r="Q39" s="577" t="str">
        <f>IF(VLOOKUP($A39,'Pre-Assessment Estimator'!$A$10:$Z$225,Q$2,FALSE)=0,"",VLOOKUP($A39,'Pre-Assessment Estimator'!$A$10:$Z$225,Q$2,FALSE))</f>
        <v/>
      </c>
      <c r="R39" s="577" t="str">
        <f>IF(VLOOKUP($A39,'Pre-Assessment Estimator'!$A$10:$Z$225,R$2,FALSE)=0,"",VLOOKUP($A39,'Pre-Assessment Estimator'!$A$10:$Z$225,R$2,FALSE))</f>
        <v/>
      </c>
      <c r="S39" s="578" t="str">
        <f>IF(VLOOKUP($A39,'Pre-Assessment Estimator'!$A$10:$Z$225,S$2,FALSE)=0,"",VLOOKUP($A39,'Pre-Assessment Estimator'!$A$10:$Z$225,S$2,FALSE))</f>
        <v/>
      </c>
      <c r="T39" s="581"/>
      <c r="U39" s="580" t="str">
        <f>IF(VLOOKUP($A39,'Pre-Assessment Estimator'!$A$10:$Z$225,U$2,FALSE)=0,"",VLOOKUP($A39,'Pre-Assessment Estimator'!$A$10:$Z$225,U$2,FALSE))</f>
        <v/>
      </c>
      <c r="V39" s="575" t="str">
        <f>VLOOKUP($A39,'Pre-Assessment Estimator'!$A$10:$Z$225,V$2,FALSE)</f>
        <v>-</v>
      </c>
      <c r="W39" s="574" t="str">
        <f>VLOOKUP($A39,'Pre-Assessment Estimator'!$A$10:$Z$225,W$2,FALSE)</f>
        <v>Unclassified</v>
      </c>
      <c r="X39" s="577" t="str">
        <f>IF(VLOOKUP($A39,'Pre-Assessment Estimator'!$A$10:$Z$225,X$2,FALSE)=0,"",VLOOKUP($A39,'Pre-Assessment Estimator'!$A$10:$Z$225,X$2,FALSE))</f>
        <v/>
      </c>
      <c r="Y39" s="577" t="str">
        <f>IF(VLOOKUP($A39,'Pre-Assessment Estimator'!$A$10:$Z$225,Y$2,FALSE)=0,"",VLOOKUP($A39,'Pre-Assessment Estimator'!$A$10:$Z$225,Y$2,FALSE))</f>
        <v/>
      </c>
      <c r="Z39" s="370" t="str">
        <f>IF(VLOOKUP($A39,'Pre-Assessment Estimator'!$A$10:$Z$225,Z$2,FALSE)=0,"",VLOOKUP($A39,'Pre-Assessment Estimator'!$A$10:$Z$225,Z$2,FALSE))</f>
        <v/>
      </c>
      <c r="AA39" s="696">
        <v>30</v>
      </c>
      <c r="AB39" s="577" t="str">
        <f>IF(VLOOKUP($A39,'Pre-Assessment Estimator'!$A$10:$AB$225,AB$2,FALSE)=0,"",VLOOKUP($A39,'Pre-Assessment Estimator'!$A$10:$AB$225,AB$2,FALSE))</f>
        <v/>
      </c>
      <c r="AF39" s="386">
        <f t="shared" si="0"/>
        <v>1</v>
      </c>
      <c r="AN39" s="386"/>
      <c r="AP39" s="386"/>
    </row>
    <row r="40" spans="1:42" x14ac:dyDescent="0.25">
      <c r="A40" s="823">
        <v>31</v>
      </c>
      <c r="B40" s="1236" t="s">
        <v>66</v>
      </c>
      <c r="C40" s="1236"/>
      <c r="D40" s="1259" t="str">
        <f>VLOOKUP($A40,'Pre-Assessment Estimator'!$A$10:$Z$225,D$2,FALSE)</f>
        <v>Hea 01</v>
      </c>
      <c r="E40" s="1260" t="str">
        <f>VLOOKUP($A40,'Pre-Assessment Estimator'!$A$10:$Z$225,E$2,FALSE)</f>
        <v>Pre-requisite: daylight assessments</v>
      </c>
      <c r="F40" s="574" t="str">
        <f>VLOOKUP($A40,'Pre-Assessment Estimator'!$A$10:$Z$225,F$2,FALSE)</f>
        <v>Yes/No</v>
      </c>
      <c r="G40" s="580" t="str">
        <f>IF(VLOOKUP($A40,'Pre-Assessment Estimator'!$A$10:$Z$225,G$2,FALSE)=0,"",VLOOKUP($A40,'Pre-Assessment Estimator'!$A$10:$Z$225,G$2,FALSE))</f>
        <v/>
      </c>
      <c r="H40" s="1222" t="str">
        <f>VLOOKUP($A40,'Pre-Assessment Estimator'!$A$10:$Z$225,H$2,FALSE)</f>
        <v>-</v>
      </c>
      <c r="I40" s="576" t="str">
        <f>VLOOKUP($A40,'Pre-Assessment Estimator'!$A$10:$Z$225,I$2,FALSE)</f>
        <v>Unclassified</v>
      </c>
      <c r="J40" s="577" t="str">
        <f>IF(VLOOKUP($A40,'Pre-Assessment Estimator'!$A$10:$Z$225,J$2,FALSE)=0,"",VLOOKUP($A40,'Pre-Assessment Estimator'!$A$10:$Z$225,J$2,FALSE))</f>
        <v/>
      </c>
      <c r="K40" s="577" t="str">
        <f>IF(VLOOKUP($A40,'Pre-Assessment Estimator'!$A$10:$Z$225,K$2,FALSE)=0,"",VLOOKUP($A40,'Pre-Assessment Estimator'!$A$10:$Z$225,K$2,FALSE))</f>
        <v/>
      </c>
      <c r="L40" s="578" t="str">
        <f>IF(VLOOKUP($A40,'Pre-Assessment Estimator'!$A$10:$Z$225,L$2,FALSE)=0,"",VLOOKUP($A40,'Pre-Assessment Estimator'!$A$10:$Z$225,L$2,FALSE))</f>
        <v/>
      </c>
      <c r="M40" s="579"/>
      <c r="N40" s="580" t="str">
        <f>IF(VLOOKUP($A40,'Pre-Assessment Estimator'!$A$10:$Z$225,N$2,FALSE)=0,"",VLOOKUP($A40,'Pre-Assessment Estimator'!$A$10:$Z$225,N$2,FALSE))</f>
        <v/>
      </c>
      <c r="O40" s="575" t="str">
        <f>VLOOKUP($A40,'Pre-Assessment Estimator'!$A$10:$Z$225,O$2,FALSE)</f>
        <v>-</v>
      </c>
      <c r="P40" s="574" t="str">
        <f>VLOOKUP($A40,'Pre-Assessment Estimator'!$A$10:$Z$225,P$2,FALSE)</f>
        <v>Unclassified</v>
      </c>
      <c r="Q40" s="577" t="str">
        <f>IF(VLOOKUP($A40,'Pre-Assessment Estimator'!$A$10:$Z$225,Q$2,FALSE)=0,"",VLOOKUP($A40,'Pre-Assessment Estimator'!$A$10:$Z$225,Q$2,FALSE))</f>
        <v/>
      </c>
      <c r="R40" s="577" t="str">
        <f>IF(VLOOKUP($A40,'Pre-Assessment Estimator'!$A$10:$Z$225,R$2,FALSE)=0,"",VLOOKUP($A40,'Pre-Assessment Estimator'!$A$10:$Z$225,R$2,FALSE))</f>
        <v/>
      </c>
      <c r="S40" s="578" t="str">
        <f>IF(VLOOKUP($A40,'Pre-Assessment Estimator'!$A$10:$Z$225,S$2,FALSE)=0,"",VLOOKUP($A40,'Pre-Assessment Estimator'!$A$10:$Z$225,S$2,FALSE))</f>
        <v/>
      </c>
      <c r="T40" s="581"/>
      <c r="U40" s="580" t="str">
        <f>IF(VLOOKUP($A40,'Pre-Assessment Estimator'!$A$10:$Z$225,U$2,FALSE)=0,"",VLOOKUP($A40,'Pre-Assessment Estimator'!$A$10:$Z$225,U$2,FALSE))</f>
        <v/>
      </c>
      <c r="V40" s="575" t="str">
        <f>VLOOKUP($A40,'Pre-Assessment Estimator'!$A$10:$Z$225,V$2,FALSE)</f>
        <v>-</v>
      </c>
      <c r="W40" s="574" t="str">
        <f>VLOOKUP($A40,'Pre-Assessment Estimator'!$A$10:$Z$225,W$2,FALSE)</f>
        <v>Unclassified</v>
      </c>
      <c r="X40" s="577" t="str">
        <f>IF(VLOOKUP($A40,'Pre-Assessment Estimator'!$A$10:$Z$225,X$2,FALSE)=0,"",VLOOKUP($A40,'Pre-Assessment Estimator'!$A$10:$Z$225,X$2,FALSE))</f>
        <v/>
      </c>
      <c r="Y40" s="577" t="str">
        <f>IF(VLOOKUP($A40,'Pre-Assessment Estimator'!$A$10:$Z$225,Y$2,FALSE)=0,"",VLOOKUP($A40,'Pre-Assessment Estimator'!$A$10:$Z$225,Y$2,FALSE))</f>
        <v/>
      </c>
      <c r="Z40" s="370" t="str">
        <f>IF(VLOOKUP($A40,'Pre-Assessment Estimator'!$A$10:$Z$225,Z$2,FALSE)=0,"",VLOOKUP($A40,'Pre-Assessment Estimator'!$A$10:$Z$225,Z$2,FALSE))</f>
        <v/>
      </c>
      <c r="AA40" s="696">
        <v>30</v>
      </c>
      <c r="AB40" s="577" t="str">
        <f>IF(VLOOKUP($A40,'Pre-Assessment Estimator'!$A$10:$AB$225,AB$2,FALSE)=0,"",VLOOKUP($A40,'Pre-Assessment Estimator'!$A$10:$AB$225,AB$2,FALSE))</f>
        <v/>
      </c>
      <c r="AF40" s="386">
        <f t="shared" ref="AF40" si="1">IF(F40="",1,IF(F40=0,2,1))</f>
        <v>1</v>
      </c>
      <c r="AN40" s="386"/>
      <c r="AP40" s="386"/>
    </row>
    <row r="41" spans="1:42" x14ac:dyDescent="0.25">
      <c r="A41" s="823">
        <v>32</v>
      </c>
      <c r="B41" s="1236" t="s">
        <v>66</v>
      </c>
      <c r="C41" s="1236"/>
      <c r="D41" s="1259" t="str">
        <f>VLOOKUP($A41,'Pre-Assessment Estimator'!$A$10:$Z$225,D$2,FALSE)</f>
        <v>Hea 01</v>
      </c>
      <c r="E41" s="1260" t="str">
        <f>VLOOKUP($A41,'Pre-Assessment Estimator'!$A$10:$Z$225,E$2,FALSE)</f>
        <v>Daylighting</v>
      </c>
      <c r="F41" s="574">
        <f>VLOOKUP($A41,'Pre-Assessment Estimator'!$A$10:$Z$225,F$2,FALSE)</f>
        <v>3</v>
      </c>
      <c r="G41" s="580" t="str">
        <f>IF(VLOOKUP($A41,'Pre-Assessment Estimator'!$A$10:$Z$225,G$2,FALSE)=0,"",VLOOKUP($A41,'Pre-Assessment Estimator'!$A$10:$Z$225,G$2,FALSE))</f>
        <v/>
      </c>
      <c r="H41" s="1222">
        <f>VLOOKUP($A41,'Pre-Assessment Estimator'!$A$10:$Z$225,H$2,FALSE)</f>
        <v>0</v>
      </c>
      <c r="I41" s="576" t="str">
        <f>VLOOKUP($A41,'Pre-Assessment Estimator'!$A$10:$Z$225,I$2,FALSE)</f>
        <v>N/A</v>
      </c>
      <c r="J41" s="577" t="str">
        <f>IF(VLOOKUP($A41,'Pre-Assessment Estimator'!$A$10:$Z$225,J$2,FALSE)=0,"",VLOOKUP($A41,'Pre-Assessment Estimator'!$A$10:$Z$225,J$2,FALSE))</f>
        <v/>
      </c>
      <c r="K41" s="577" t="str">
        <f>IF(VLOOKUP($A41,'Pre-Assessment Estimator'!$A$10:$Z$225,K$2,FALSE)=0,"",VLOOKUP($A41,'Pre-Assessment Estimator'!$A$10:$Z$225,K$2,FALSE))</f>
        <v/>
      </c>
      <c r="L41" s="578" t="str">
        <f>IF(VLOOKUP($A41,'Pre-Assessment Estimator'!$A$10:$Z$225,L$2,FALSE)=0,"",VLOOKUP($A41,'Pre-Assessment Estimator'!$A$10:$Z$225,L$2,FALSE))</f>
        <v/>
      </c>
      <c r="M41" s="579"/>
      <c r="N41" s="580" t="str">
        <f>IF(VLOOKUP($A41,'Pre-Assessment Estimator'!$A$10:$Z$225,N$2,FALSE)=0,"",VLOOKUP($A41,'Pre-Assessment Estimator'!$A$10:$Z$225,N$2,FALSE))</f>
        <v/>
      </c>
      <c r="O41" s="575">
        <f>VLOOKUP($A41,'Pre-Assessment Estimator'!$A$10:$Z$225,O$2,FALSE)</f>
        <v>0</v>
      </c>
      <c r="P41" s="574" t="str">
        <f>VLOOKUP($A41,'Pre-Assessment Estimator'!$A$10:$Z$225,P$2,FALSE)</f>
        <v>N/A</v>
      </c>
      <c r="Q41" s="577" t="str">
        <f>IF(VLOOKUP($A41,'Pre-Assessment Estimator'!$A$10:$Z$225,Q$2,FALSE)=0,"",VLOOKUP($A41,'Pre-Assessment Estimator'!$A$10:$Z$225,Q$2,FALSE))</f>
        <v/>
      </c>
      <c r="R41" s="577" t="str">
        <f>IF(VLOOKUP($A41,'Pre-Assessment Estimator'!$A$10:$Z$225,R$2,FALSE)=0,"",VLOOKUP($A41,'Pre-Assessment Estimator'!$A$10:$Z$225,R$2,FALSE))</f>
        <v/>
      </c>
      <c r="S41" s="578" t="str">
        <f>IF(VLOOKUP($A41,'Pre-Assessment Estimator'!$A$10:$Z$225,S$2,FALSE)=0,"",VLOOKUP($A41,'Pre-Assessment Estimator'!$A$10:$Z$225,S$2,FALSE))</f>
        <v/>
      </c>
      <c r="T41" s="581"/>
      <c r="U41" s="580" t="str">
        <f>IF(VLOOKUP($A41,'Pre-Assessment Estimator'!$A$10:$Z$225,U$2,FALSE)=0,"",VLOOKUP($A41,'Pre-Assessment Estimator'!$A$10:$Z$225,U$2,FALSE))</f>
        <v/>
      </c>
      <c r="V41" s="575">
        <f>VLOOKUP($A41,'Pre-Assessment Estimator'!$A$10:$Z$225,V$2,FALSE)</f>
        <v>0</v>
      </c>
      <c r="W41" s="574" t="str">
        <f>VLOOKUP($A41,'Pre-Assessment Estimator'!$A$10:$Z$225,W$2,FALSE)</f>
        <v>N/A</v>
      </c>
      <c r="X41" s="577" t="str">
        <f>IF(VLOOKUP($A41,'Pre-Assessment Estimator'!$A$10:$Z$225,X$2,FALSE)=0,"",VLOOKUP($A41,'Pre-Assessment Estimator'!$A$10:$Z$225,X$2,FALSE))</f>
        <v/>
      </c>
      <c r="Y41" s="577" t="str">
        <f>IF(VLOOKUP($A41,'Pre-Assessment Estimator'!$A$10:$Z$225,Y$2,FALSE)=0,"",VLOOKUP($A41,'Pre-Assessment Estimator'!$A$10:$Z$225,Y$2,FALSE))</f>
        <v/>
      </c>
      <c r="Z41" s="370" t="str">
        <f>IF(VLOOKUP($A41,'Pre-Assessment Estimator'!$A$10:$Z$225,Z$2,FALSE)=0,"",VLOOKUP($A41,'Pre-Assessment Estimator'!$A$10:$Z$225,Z$2,FALSE))</f>
        <v/>
      </c>
      <c r="AA41" s="696">
        <v>31</v>
      </c>
      <c r="AB41" s="577" t="str">
        <f>IF(VLOOKUP($A41,'Pre-Assessment Estimator'!$A$10:$AB$225,AB$2,FALSE)=0,"",VLOOKUP($A41,'Pre-Assessment Estimator'!$A$10:$AB$225,AB$2,FALSE))</f>
        <v/>
      </c>
      <c r="AF41" s="386">
        <f t="shared" si="0"/>
        <v>1</v>
      </c>
      <c r="AN41" s="386"/>
      <c r="AO41" s="386"/>
      <c r="AP41" s="386"/>
    </row>
    <row r="42" spans="1:42" x14ac:dyDescent="0.25">
      <c r="A42" s="823">
        <v>33</v>
      </c>
      <c r="B42" s="1236" t="s">
        <v>66</v>
      </c>
      <c r="C42" s="1236"/>
      <c r="D42" s="1259" t="str">
        <f>VLOOKUP($A42,'Pre-Assessment Estimator'!$A$10:$Z$225,D$2,FALSE)</f>
        <v>Hea 01</v>
      </c>
      <c r="E42" s="1260" t="str">
        <f>VLOOKUP($A42,'Pre-Assessment Estimator'!$A$10:$Z$225,E$2,FALSE)</f>
        <v xml:space="preserve">Control of glare from sunlight </v>
      </c>
      <c r="F42" s="574">
        <f>VLOOKUP($A42,'Pre-Assessment Estimator'!$A$10:$Z$225,F$2,FALSE)</f>
        <v>1</v>
      </c>
      <c r="G42" s="580" t="str">
        <f>IF(VLOOKUP($A42,'Pre-Assessment Estimator'!$A$10:$Z$225,G$2,FALSE)=0,"",VLOOKUP($A42,'Pre-Assessment Estimator'!$A$10:$Z$225,G$2,FALSE))</f>
        <v/>
      </c>
      <c r="H42" s="1222">
        <f>VLOOKUP($A42,'Pre-Assessment Estimator'!$A$10:$Z$225,H$2,FALSE)</f>
        <v>0</v>
      </c>
      <c r="I42" s="576" t="str">
        <f>VLOOKUP($A42,'Pre-Assessment Estimator'!$A$10:$Z$225,I$2,FALSE)</f>
        <v>N/A</v>
      </c>
      <c r="J42" s="577" t="str">
        <f>IF(VLOOKUP($A42,'Pre-Assessment Estimator'!$A$10:$Z$225,J$2,FALSE)=0,"",VLOOKUP($A42,'Pre-Assessment Estimator'!$A$10:$Z$225,J$2,FALSE))</f>
        <v/>
      </c>
      <c r="K42" s="577" t="str">
        <f>IF(VLOOKUP($A42,'Pre-Assessment Estimator'!$A$10:$Z$225,K$2,FALSE)=0,"",VLOOKUP($A42,'Pre-Assessment Estimator'!$A$10:$Z$225,K$2,FALSE))</f>
        <v/>
      </c>
      <c r="L42" s="578" t="str">
        <f>IF(VLOOKUP($A42,'Pre-Assessment Estimator'!$A$10:$Z$225,L$2,FALSE)=0,"",VLOOKUP($A42,'Pre-Assessment Estimator'!$A$10:$Z$225,L$2,FALSE))</f>
        <v/>
      </c>
      <c r="M42" s="579"/>
      <c r="N42" s="580" t="str">
        <f>IF(VLOOKUP($A42,'Pre-Assessment Estimator'!$A$10:$Z$225,N$2,FALSE)=0,"",VLOOKUP($A42,'Pre-Assessment Estimator'!$A$10:$Z$225,N$2,FALSE))</f>
        <v/>
      </c>
      <c r="O42" s="575">
        <f>VLOOKUP($A42,'Pre-Assessment Estimator'!$A$10:$Z$225,O$2,FALSE)</f>
        <v>0</v>
      </c>
      <c r="P42" s="574" t="str">
        <f>VLOOKUP($A42,'Pre-Assessment Estimator'!$A$10:$Z$225,P$2,FALSE)</f>
        <v>N/A</v>
      </c>
      <c r="Q42" s="577" t="str">
        <f>IF(VLOOKUP($A42,'Pre-Assessment Estimator'!$A$10:$Z$225,Q$2,FALSE)=0,"",VLOOKUP($A42,'Pre-Assessment Estimator'!$A$10:$Z$225,Q$2,FALSE))</f>
        <v/>
      </c>
      <c r="R42" s="577" t="str">
        <f>IF(VLOOKUP($A42,'Pre-Assessment Estimator'!$A$10:$Z$225,R$2,FALSE)=0,"",VLOOKUP($A42,'Pre-Assessment Estimator'!$A$10:$Z$225,R$2,FALSE))</f>
        <v/>
      </c>
      <c r="S42" s="578" t="str">
        <f>IF(VLOOKUP($A42,'Pre-Assessment Estimator'!$A$10:$Z$225,S$2,FALSE)=0,"",VLOOKUP($A42,'Pre-Assessment Estimator'!$A$10:$Z$225,S$2,FALSE))</f>
        <v/>
      </c>
      <c r="T42" s="581"/>
      <c r="U42" s="580" t="str">
        <f>IF(VLOOKUP($A42,'Pre-Assessment Estimator'!$A$10:$Z$225,U$2,FALSE)=0,"",VLOOKUP($A42,'Pre-Assessment Estimator'!$A$10:$Z$225,U$2,FALSE))</f>
        <v/>
      </c>
      <c r="V42" s="575">
        <f>VLOOKUP($A42,'Pre-Assessment Estimator'!$A$10:$Z$225,V$2,FALSE)</f>
        <v>0</v>
      </c>
      <c r="W42" s="574" t="str">
        <f>VLOOKUP($A42,'Pre-Assessment Estimator'!$A$10:$Z$225,W$2,FALSE)</f>
        <v>N/A</v>
      </c>
      <c r="X42" s="577" t="str">
        <f>IF(VLOOKUP($A42,'Pre-Assessment Estimator'!$A$10:$Z$225,X$2,FALSE)=0,"",VLOOKUP($A42,'Pre-Assessment Estimator'!$A$10:$Z$225,X$2,FALSE))</f>
        <v/>
      </c>
      <c r="Y42" s="577" t="str">
        <f>IF(VLOOKUP($A42,'Pre-Assessment Estimator'!$A$10:$Z$225,Y$2,FALSE)=0,"",VLOOKUP($A42,'Pre-Assessment Estimator'!$A$10:$Z$225,Y$2,FALSE))</f>
        <v/>
      </c>
      <c r="Z42" s="370" t="str">
        <f>IF(VLOOKUP($A42,'Pre-Assessment Estimator'!$A$10:$Z$225,Z$2,FALSE)=0,"",VLOOKUP($A42,'Pre-Assessment Estimator'!$A$10:$Z$225,Z$2,FALSE))</f>
        <v/>
      </c>
      <c r="AA42" s="696">
        <v>32</v>
      </c>
      <c r="AB42" s="577" t="str">
        <f>IF(VLOOKUP($A42,'Pre-Assessment Estimator'!$A$10:$AB$225,AB$2,FALSE)=0,"",VLOOKUP($A42,'Pre-Assessment Estimator'!$A$10:$AB$225,AB$2,FALSE))</f>
        <v/>
      </c>
      <c r="AF42" s="386">
        <f t="shared" si="0"/>
        <v>1</v>
      </c>
      <c r="AN42" s="386"/>
      <c r="AO42" s="386"/>
      <c r="AP42" s="386"/>
    </row>
    <row r="43" spans="1:42" x14ac:dyDescent="0.25">
      <c r="A43" s="823">
        <v>34</v>
      </c>
      <c r="B43" s="1236" t="s">
        <v>66</v>
      </c>
      <c r="C43" s="1236"/>
      <c r="D43" s="1259" t="str">
        <f>VLOOKUP($A43,'Pre-Assessment Estimator'!$A$10:$Z$225,D$2,FALSE)</f>
        <v>Hea 01</v>
      </c>
      <c r="E43" s="1260" t="str">
        <f>VLOOKUP($A43,'Pre-Assessment Estimator'!$A$10:$Z$225,E$2,FALSE)</f>
        <v xml:space="preserve">View out </v>
      </c>
      <c r="F43" s="574">
        <f>VLOOKUP($A43,'Pre-Assessment Estimator'!$A$10:$Z$225,F$2,FALSE)</f>
        <v>1</v>
      </c>
      <c r="G43" s="580" t="str">
        <f>IF(VLOOKUP($A43,'Pre-Assessment Estimator'!$A$10:$Z$225,G$2,FALSE)=0,"",VLOOKUP($A43,'Pre-Assessment Estimator'!$A$10:$Z$225,G$2,FALSE))</f>
        <v/>
      </c>
      <c r="H43" s="1222">
        <f>VLOOKUP($A43,'Pre-Assessment Estimator'!$A$10:$Z$225,H$2,FALSE)</f>
        <v>0</v>
      </c>
      <c r="I43" s="576" t="str">
        <f>VLOOKUP($A43,'Pre-Assessment Estimator'!$A$10:$Z$225,I$2,FALSE)</f>
        <v>N/A</v>
      </c>
      <c r="J43" s="577" t="str">
        <f>IF(VLOOKUP($A43,'Pre-Assessment Estimator'!$A$10:$Z$225,J$2,FALSE)=0,"",VLOOKUP($A43,'Pre-Assessment Estimator'!$A$10:$Z$225,J$2,FALSE))</f>
        <v/>
      </c>
      <c r="K43" s="577" t="str">
        <f>IF(VLOOKUP($A43,'Pre-Assessment Estimator'!$A$10:$Z$225,K$2,FALSE)=0,"",VLOOKUP($A43,'Pre-Assessment Estimator'!$A$10:$Z$225,K$2,FALSE))</f>
        <v/>
      </c>
      <c r="L43" s="578" t="str">
        <f>IF(VLOOKUP($A43,'Pre-Assessment Estimator'!$A$10:$Z$225,L$2,FALSE)=0,"",VLOOKUP($A43,'Pre-Assessment Estimator'!$A$10:$Z$225,L$2,FALSE))</f>
        <v/>
      </c>
      <c r="M43" s="579"/>
      <c r="N43" s="580" t="str">
        <f>IF(VLOOKUP($A43,'Pre-Assessment Estimator'!$A$10:$Z$225,N$2,FALSE)=0,"",VLOOKUP($A43,'Pre-Assessment Estimator'!$A$10:$Z$225,N$2,FALSE))</f>
        <v/>
      </c>
      <c r="O43" s="575">
        <f>VLOOKUP($A43,'Pre-Assessment Estimator'!$A$10:$Z$225,O$2,FALSE)</f>
        <v>0</v>
      </c>
      <c r="P43" s="574" t="str">
        <f>VLOOKUP($A43,'Pre-Assessment Estimator'!$A$10:$Z$225,P$2,FALSE)</f>
        <v>N/A</v>
      </c>
      <c r="Q43" s="577" t="str">
        <f>IF(VLOOKUP($A43,'Pre-Assessment Estimator'!$A$10:$Z$225,Q$2,FALSE)=0,"",VLOOKUP($A43,'Pre-Assessment Estimator'!$A$10:$Z$225,Q$2,FALSE))</f>
        <v/>
      </c>
      <c r="R43" s="577" t="str">
        <f>IF(VLOOKUP($A43,'Pre-Assessment Estimator'!$A$10:$Z$225,R$2,FALSE)=0,"",VLOOKUP($A43,'Pre-Assessment Estimator'!$A$10:$Z$225,R$2,FALSE))</f>
        <v/>
      </c>
      <c r="S43" s="578" t="str">
        <f>IF(VLOOKUP($A43,'Pre-Assessment Estimator'!$A$10:$Z$225,S$2,FALSE)=0,"",VLOOKUP($A43,'Pre-Assessment Estimator'!$A$10:$Z$225,S$2,FALSE))</f>
        <v/>
      </c>
      <c r="T43" s="581"/>
      <c r="U43" s="580" t="str">
        <f>IF(VLOOKUP($A43,'Pre-Assessment Estimator'!$A$10:$Z$225,U$2,FALSE)=0,"",VLOOKUP($A43,'Pre-Assessment Estimator'!$A$10:$Z$225,U$2,FALSE))</f>
        <v/>
      </c>
      <c r="V43" s="575">
        <f>VLOOKUP($A43,'Pre-Assessment Estimator'!$A$10:$Z$225,V$2,FALSE)</f>
        <v>0</v>
      </c>
      <c r="W43" s="574" t="str">
        <f>VLOOKUP($A43,'Pre-Assessment Estimator'!$A$10:$Z$225,W$2,FALSE)</f>
        <v>N/A</v>
      </c>
      <c r="X43" s="577" t="str">
        <f>IF(VLOOKUP($A43,'Pre-Assessment Estimator'!$A$10:$Z$225,X$2,FALSE)=0,"",VLOOKUP($A43,'Pre-Assessment Estimator'!$A$10:$Z$225,X$2,FALSE))</f>
        <v/>
      </c>
      <c r="Y43" s="577" t="str">
        <f>IF(VLOOKUP($A43,'Pre-Assessment Estimator'!$A$10:$Z$225,Y$2,FALSE)=0,"",VLOOKUP($A43,'Pre-Assessment Estimator'!$A$10:$Z$225,Y$2,FALSE))</f>
        <v/>
      </c>
      <c r="Z43" s="370" t="str">
        <f>IF(VLOOKUP($A43,'Pre-Assessment Estimator'!$A$10:$Z$225,Z$2,FALSE)=0,"",VLOOKUP($A43,'Pre-Assessment Estimator'!$A$10:$Z$225,Z$2,FALSE))</f>
        <v/>
      </c>
      <c r="AA43" s="696">
        <v>33</v>
      </c>
      <c r="AB43" s="577" t="str">
        <f>IF(VLOOKUP($A43,'Pre-Assessment Estimator'!$A$10:$AB$225,AB$2,FALSE)=0,"",VLOOKUP($A43,'Pre-Assessment Estimator'!$A$10:$AB$225,AB$2,FALSE))</f>
        <v/>
      </c>
      <c r="AF43" s="386">
        <f t="shared" si="0"/>
        <v>1</v>
      </c>
      <c r="AN43" s="386"/>
      <c r="AO43" s="386"/>
      <c r="AP43" s="386"/>
    </row>
    <row r="44" spans="1:42" x14ac:dyDescent="0.25">
      <c r="A44" s="823">
        <v>35</v>
      </c>
      <c r="B44" s="1236" t="s">
        <v>66</v>
      </c>
      <c r="C44" s="1236"/>
      <c r="D44" s="1259" t="str">
        <f>VLOOKUP($A44,'Pre-Assessment Estimator'!$A$10:$Z$225,D$2,FALSE)</f>
        <v>Hea 01</v>
      </c>
      <c r="E44" s="1260" t="str">
        <f>VLOOKUP($A44,'Pre-Assessment Estimator'!$A$10:$Z$225,E$2,FALSE)</f>
        <v xml:space="preserve">Sunlight </v>
      </c>
      <c r="F44" s="574">
        <f>VLOOKUP($A44,'Pre-Assessment Estimator'!$A$10:$Z$225,F$2,FALSE)</f>
        <v>1</v>
      </c>
      <c r="G44" s="580" t="str">
        <f>IF(VLOOKUP($A44,'Pre-Assessment Estimator'!$A$10:$Z$225,G$2,FALSE)=0,"",VLOOKUP($A44,'Pre-Assessment Estimator'!$A$10:$Z$225,G$2,FALSE))</f>
        <v/>
      </c>
      <c r="H44" s="1222">
        <f>VLOOKUP($A44,'Pre-Assessment Estimator'!$A$10:$Z$225,H$2,FALSE)</f>
        <v>0</v>
      </c>
      <c r="I44" s="576" t="str">
        <f>VLOOKUP($A44,'Pre-Assessment Estimator'!$A$10:$Z$225,I$2,FALSE)</f>
        <v>N/A</v>
      </c>
      <c r="J44" s="577" t="str">
        <f>IF(VLOOKUP($A44,'Pre-Assessment Estimator'!$A$10:$Z$225,J$2,FALSE)=0,"",VLOOKUP($A44,'Pre-Assessment Estimator'!$A$10:$Z$225,J$2,FALSE))</f>
        <v/>
      </c>
      <c r="K44" s="577" t="str">
        <f>IF(VLOOKUP($A44,'Pre-Assessment Estimator'!$A$10:$Z$225,K$2,FALSE)=0,"",VLOOKUP($A44,'Pre-Assessment Estimator'!$A$10:$Z$225,K$2,FALSE))</f>
        <v/>
      </c>
      <c r="L44" s="578" t="str">
        <f>IF(VLOOKUP($A44,'Pre-Assessment Estimator'!$A$10:$Z$225,L$2,FALSE)=0,"",VLOOKUP($A44,'Pre-Assessment Estimator'!$A$10:$Z$225,L$2,FALSE))</f>
        <v/>
      </c>
      <c r="M44" s="579"/>
      <c r="N44" s="580" t="str">
        <f>IF(VLOOKUP($A44,'Pre-Assessment Estimator'!$A$10:$Z$225,N$2,FALSE)=0,"",VLOOKUP($A44,'Pre-Assessment Estimator'!$A$10:$Z$225,N$2,FALSE))</f>
        <v/>
      </c>
      <c r="O44" s="575">
        <f>VLOOKUP($A44,'Pre-Assessment Estimator'!$A$10:$Z$225,O$2,FALSE)</f>
        <v>0</v>
      </c>
      <c r="P44" s="574" t="str">
        <f>VLOOKUP($A44,'Pre-Assessment Estimator'!$A$10:$Z$225,P$2,FALSE)</f>
        <v>N/A</v>
      </c>
      <c r="Q44" s="577" t="str">
        <f>IF(VLOOKUP($A44,'Pre-Assessment Estimator'!$A$10:$Z$225,Q$2,FALSE)=0,"",VLOOKUP($A44,'Pre-Assessment Estimator'!$A$10:$Z$225,Q$2,FALSE))</f>
        <v/>
      </c>
      <c r="R44" s="577" t="str">
        <f>IF(VLOOKUP($A44,'Pre-Assessment Estimator'!$A$10:$Z$225,R$2,FALSE)=0,"",VLOOKUP($A44,'Pre-Assessment Estimator'!$A$10:$Z$225,R$2,FALSE))</f>
        <v/>
      </c>
      <c r="S44" s="578" t="str">
        <f>IF(VLOOKUP($A44,'Pre-Assessment Estimator'!$A$10:$Z$225,S$2,FALSE)=0,"",VLOOKUP($A44,'Pre-Assessment Estimator'!$A$10:$Z$225,S$2,FALSE))</f>
        <v/>
      </c>
      <c r="T44" s="581"/>
      <c r="U44" s="580" t="str">
        <f>IF(VLOOKUP($A44,'Pre-Assessment Estimator'!$A$10:$Z$225,U$2,FALSE)=0,"",VLOOKUP($A44,'Pre-Assessment Estimator'!$A$10:$Z$225,U$2,FALSE))</f>
        <v/>
      </c>
      <c r="V44" s="575">
        <f>VLOOKUP($A44,'Pre-Assessment Estimator'!$A$10:$Z$225,V$2,FALSE)</f>
        <v>0</v>
      </c>
      <c r="W44" s="574" t="str">
        <f>VLOOKUP($A44,'Pre-Assessment Estimator'!$A$10:$Z$225,W$2,FALSE)</f>
        <v>N/A</v>
      </c>
      <c r="X44" s="577" t="str">
        <f>IF(VLOOKUP($A44,'Pre-Assessment Estimator'!$A$10:$Z$225,X$2,FALSE)=0,"",VLOOKUP($A44,'Pre-Assessment Estimator'!$A$10:$Z$225,X$2,FALSE))</f>
        <v/>
      </c>
      <c r="Y44" s="577" t="str">
        <f>IF(VLOOKUP($A44,'Pre-Assessment Estimator'!$A$10:$Z$225,Y$2,FALSE)=0,"",VLOOKUP($A44,'Pre-Assessment Estimator'!$A$10:$Z$225,Y$2,FALSE))</f>
        <v/>
      </c>
      <c r="Z44" s="370" t="str">
        <f>IF(VLOOKUP($A44,'Pre-Assessment Estimator'!$A$10:$Z$225,Z$2,FALSE)=0,"",VLOOKUP($A44,'Pre-Assessment Estimator'!$A$10:$Z$225,Z$2,FALSE))</f>
        <v/>
      </c>
      <c r="AA44" s="696">
        <v>34</v>
      </c>
      <c r="AB44" s="577"/>
      <c r="AF44" s="386">
        <f t="shared" si="0"/>
        <v>1</v>
      </c>
      <c r="AN44" s="386"/>
      <c r="AO44" s="386"/>
      <c r="AP44" s="386"/>
    </row>
    <row r="45" spans="1:42" x14ac:dyDescent="0.25">
      <c r="A45" s="823">
        <v>36</v>
      </c>
      <c r="B45" s="1236" t="s">
        <v>66</v>
      </c>
      <c r="C45" s="1236"/>
      <c r="D45" s="1259" t="str">
        <f>VLOOKUP($A45,'Pre-Assessment Estimator'!$A$10:$Z$225,D$2,FALSE)</f>
        <v>Hea 01</v>
      </c>
      <c r="E45" s="1260" t="str">
        <f>VLOOKUP($A45,'Pre-Assessment Estimator'!$A$10:$Z$225,E$2,FALSE)</f>
        <v xml:space="preserve">Internal and external lighting levels, zoning and control </v>
      </c>
      <c r="F45" s="574">
        <f>VLOOKUP($A45,'Pre-Assessment Estimator'!$A$10:$Z$225,F$2,FALSE)</f>
        <v>1</v>
      </c>
      <c r="G45" s="580" t="str">
        <f>IF(VLOOKUP($A45,'Pre-Assessment Estimator'!$A$10:$Z$225,G$2,FALSE)=0,"",VLOOKUP($A45,'Pre-Assessment Estimator'!$A$10:$Z$225,G$2,FALSE))</f>
        <v/>
      </c>
      <c r="H45" s="1222">
        <f>VLOOKUP($A45,'Pre-Assessment Estimator'!$A$10:$Z$225,H$2,FALSE)</f>
        <v>0</v>
      </c>
      <c r="I45" s="576" t="str">
        <f>VLOOKUP($A45,'Pre-Assessment Estimator'!$A$10:$Z$225,I$2,FALSE)</f>
        <v>N/A</v>
      </c>
      <c r="J45" s="577" t="str">
        <f>IF(VLOOKUP($A45,'Pre-Assessment Estimator'!$A$10:$Z$225,J$2,FALSE)=0,"",VLOOKUP($A45,'Pre-Assessment Estimator'!$A$10:$Z$225,J$2,FALSE))</f>
        <v/>
      </c>
      <c r="K45" s="577" t="str">
        <f>IF(VLOOKUP($A45,'Pre-Assessment Estimator'!$A$10:$Z$225,K$2,FALSE)=0,"",VLOOKUP($A45,'Pre-Assessment Estimator'!$A$10:$Z$225,K$2,FALSE))</f>
        <v/>
      </c>
      <c r="L45" s="578" t="str">
        <f>IF(VLOOKUP($A45,'Pre-Assessment Estimator'!$A$10:$Z$225,L$2,FALSE)=0,"",VLOOKUP($A45,'Pre-Assessment Estimator'!$A$10:$Z$225,L$2,FALSE))</f>
        <v/>
      </c>
      <c r="M45" s="579"/>
      <c r="N45" s="580" t="str">
        <f>IF(VLOOKUP($A45,'Pre-Assessment Estimator'!$A$10:$Z$225,N$2,FALSE)=0,"",VLOOKUP($A45,'Pre-Assessment Estimator'!$A$10:$Z$225,N$2,FALSE))</f>
        <v/>
      </c>
      <c r="O45" s="575">
        <f>VLOOKUP($A45,'Pre-Assessment Estimator'!$A$10:$Z$225,O$2,FALSE)</f>
        <v>0</v>
      </c>
      <c r="P45" s="574" t="str">
        <f>VLOOKUP($A45,'Pre-Assessment Estimator'!$A$10:$Z$225,P$2,FALSE)</f>
        <v>N/A</v>
      </c>
      <c r="Q45" s="577" t="str">
        <f>IF(VLOOKUP($A45,'Pre-Assessment Estimator'!$A$10:$Z$225,Q$2,FALSE)=0,"",VLOOKUP($A45,'Pre-Assessment Estimator'!$A$10:$Z$225,Q$2,FALSE))</f>
        <v/>
      </c>
      <c r="R45" s="577" t="str">
        <f>IF(VLOOKUP($A45,'Pre-Assessment Estimator'!$A$10:$Z$225,R$2,FALSE)=0,"",VLOOKUP($A45,'Pre-Assessment Estimator'!$A$10:$Z$225,R$2,FALSE))</f>
        <v/>
      </c>
      <c r="S45" s="578" t="str">
        <f>IF(VLOOKUP($A45,'Pre-Assessment Estimator'!$A$10:$Z$225,S$2,FALSE)=0,"",VLOOKUP($A45,'Pre-Assessment Estimator'!$A$10:$Z$225,S$2,FALSE))</f>
        <v/>
      </c>
      <c r="T45" s="581"/>
      <c r="U45" s="580" t="str">
        <f>IF(VLOOKUP($A45,'Pre-Assessment Estimator'!$A$10:$Z$225,U$2,FALSE)=0,"",VLOOKUP($A45,'Pre-Assessment Estimator'!$A$10:$Z$225,U$2,FALSE))</f>
        <v/>
      </c>
      <c r="V45" s="575">
        <f>VLOOKUP($A45,'Pre-Assessment Estimator'!$A$10:$Z$225,V$2,FALSE)</f>
        <v>0</v>
      </c>
      <c r="W45" s="574" t="str">
        <f>VLOOKUP($A45,'Pre-Assessment Estimator'!$A$10:$Z$225,W$2,FALSE)</f>
        <v>N/A</v>
      </c>
      <c r="X45" s="577" t="str">
        <f>IF(VLOOKUP($A45,'Pre-Assessment Estimator'!$A$10:$Z$225,X$2,FALSE)=0,"",VLOOKUP($A45,'Pre-Assessment Estimator'!$A$10:$Z$225,X$2,FALSE))</f>
        <v/>
      </c>
      <c r="Y45" s="577" t="str">
        <f>IF(VLOOKUP($A45,'Pre-Assessment Estimator'!$A$10:$Z$225,Y$2,FALSE)=0,"",VLOOKUP($A45,'Pre-Assessment Estimator'!$A$10:$Z$225,Y$2,FALSE))</f>
        <v/>
      </c>
      <c r="Z45" s="370" t="str">
        <f>IF(VLOOKUP($A45,'Pre-Assessment Estimator'!$A$10:$Z$225,Z$2,FALSE)=0,"",VLOOKUP($A45,'Pre-Assessment Estimator'!$A$10:$Z$225,Z$2,FALSE))</f>
        <v/>
      </c>
      <c r="AA45" s="696">
        <v>35</v>
      </c>
      <c r="AB45" s="577"/>
      <c r="AF45" s="386">
        <f t="shared" si="0"/>
        <v>1</v>
      </c>
      <c r="AN45" s="386"/>
      <c r="AO45" s="386"/>
      <c r="AP45" s="386"/>
    </row>
    <row r="46" spans="1:42" x14ac:dyDescent="0.25">
      <c r="A46" s="823">
        <v>37</v>
      </c>
      <c r="B46" s="1236" t="s">
        <v>66</v>
      </c>
      <c r="C46" s="1236"/>
      <c r="D46" s="1258" t="str">
        <f>VLOOKUP($A46,'Pre-Assessment Estimator'!$A$10:$Z$225,D$2,FALSE)</f>
        <v>Hea 02</v>
      </c>
      <c r="E46" s="1258" t="str">
        <f>VLOOKUP($A46,'Pre-Assessment Estimator'!$A$10:$Z$225,E$2,FALSE)</f>
        <v>Hea 02 Indoor air quality</v>
      </c>
      <c r="F46" s="574">
        <f>VLOOKUP($A46,'Pre-Assessment Estimator'!$A$10:$Z$225,F$2,FALSE)</f>
        <v>4</v>
      </c>
      <c r="G46" s="580" t="str">
        <f>IF(VLOOKUP($A46,'Pre-Assessment Estimator'!$A$10:$Z$225,G$2,FALSE)=0,"",VLOOKUP($A46,'Pre-Assessment Estimator'!$A$10:$Z$225,G$2,FALSE))</f>
        <v/>
      </c>
      <c r="H46" s="1222" t="str">
        <f>VLOOKUP($A46,'Pre-Assessment Estimator'!$A$10:$Z$225,H$2,FALSE)</f>
        <v>0 c. 0 %</v>
      </c>
      <c r="I46" s="576" t="str">
        <f>VLOOKUP($A46,'Pre-Assessment Estimator'!$A$10:$Z$225,I$2,FALSE)</f>
        <v>N/A</v>
      </c>
      <c r="J46" s="577" t="str">
        <f>IF(VLOOKUP($A46,'Pre-Assessment Estimator'!$A$10:$Z$225,J$2,FALSE)=0,"",VLOOKUP($A46,'Pre-Assessment Estimator'!$A$10:$Z$225,J$2,FALSE))</f>
        <v/>
      </c>
      <c r="K46" s="577" t="str">
        <f>IF(VLOOKUP($A46,'Pre-Assessment Estimator'!$A$10:$Z$225,K$2,FALSE)=0,"",VLOOKUP($A46,'Pre-Assessment Estimator'!$A$10:$Z$225,K$2,FALSE))</f>
        <v/>
      </c>
      <c r="L46" s="578" t="str">
        <f>IF(VLOOKUP($A46,'Pre-Assessment Estimator'!$A$10:$Z$225,L$2,FALSE)=0,"",VLOOKUP($A46,'Pre-Assessment Estimator'!$A$10:$Z$225,L$2,FALSE))</f>
        <v/>
      </c>
      <c r="M46" s="579"/>
      <c r="N46" s="580" t="str">
        <f>IF(VLOOKUP($A46,'Pre-Assessment Estimator'!$A$10:$Z$225,N$2,FALSE)=0,"",VLOOKUP($A46,'Pre-Assessment Estimator'!$A$10:$Z$225,N$2,FALSE))</f>
        <v/>
      </c>
      <c r="O46" s="575" t="str">
        <f>VLOOKUP($A46,'Pre-Assessment Estimator'!$A$10:$Z$225,O$2,FALSE)</f>
        <v>0 c. 0 %</v>
      </c>
      <c r="P46" s="574" t="str">
        <f>VLOOKUP($A46,'Pre-Assessment Estimator'!$A$10:$Z$225,P$2,FALSE)</f>
        <v>N/A</v>
      </c>
      <c r="Q46" s="577" t="str">
        <f>IF(VLOOKUP($A46,'Pre-Assessment Estimator'!$A$10:$Z$225,Q$2,FALSE)=0,"",VLOOKUP($A46,'Pre-Assessment Estimator'!$A$10:$Z$225,Q$2,FALSE))</f>
        <v/>
      </c>
      <c r="R46" s="577" t="str">
        <f>IF(VLOOKUP($A46,'Pre-Assessment Estimator'!$A$10:$Z$225,R$2,FALSE)=0,"",VLOOKUP($A46,'Pre-Assessment Estimator'!$A$10:$Z$225,R$2,FALSE))</f>
        <v/>
      </c>
      <c r="S46" s="578" t="str">
        <f>IF(VLOOKUP($A46,'Pre-Assessment Estimator'!$A$10:$Z$225,S$2,FALSE)=0,"",VLOOKUP($A46,'Pre-Assessment Estimator'!$A$10:$Z$225,S$2,FALSE))</f>
        <v/>
      </c>
      <c r="T46" s="581"/>
      <c r="U46" s="580" t="str">
        <f>IF(VLOOKUP($A46,'Pre-Assessment Estimator'!$A$10:$Z$225,U$2,FALSE)=0,"",VLOOKUP($A46,'Pre-Assessment Estimator'!$A$10:$Z$225,U$2,FALSE))</f>
        <v/>
      </c>
      <c r="V46" s="575" t="str">
        <f>VLOOKUP($A46,'Pre-Assessment Estimator'!$A$10:$Z$225,V$2,FALSE)</f>
        <v>0 c. 0 %</v>
      </c>
      <c r="W46" s="574" t="str">
        <f>VLOOKUP($A46,'Pre-Assessment Estimator'!$A$10:$Z$225,W$2,FALSE)</f>
        <v>N/A</v>
      </c>
      <c r="X46" s="577" t="str">
        <f>IF(VLOOKUP($A46,'Pre-Assessment Estimator'!$A$10:$Z$225,X$2,FALSE)=0,"",VLOOKUP($A46,'Pre-Assessment Estimator'!$A$10:$Z$225,X$2,FALSE))</f>
        <v/>
      </c>
      <c r="Y46" s="577" t="str">
        <f>IF(VLOOKUP($A46,'Pre-Assessment Estimator'!$A$10:$Z$225,Y$2,FALSE)=0,"",VLOOKUP($A46,'Pre-Assessment Estimator'!$A$10:$Z$225,Y$2,FALSE))</f>
        <v/>
      </c>
      <c r="Z46" s="370" t="str">
        <f>IF(VLOOKUP($A46,'Pre-Assessment Estimator'!$A$10:$Z$225,Z$2,FALSE)=0,"",VLOOKUP($A46,'Pre-Assessment Estimator'!$A$10:$Z$225,Z$2,FALSE))</f>
        <v/>
      </c>
      <c r="AA46" s="696">
        <v>36</v>
      </c>
      <c r="AB46" s="577"/>
      <c r="AF46" s="386">
        <f t="shared" si="0"/>
        <v>1</v>
      </c>
      <c r="AN46" s="386"/>
      <c r="AO46" s="386"/>
      <c r="AP46" s="386"/>
    </row>
    <row r="47" spans="1:42" x14ac:dyDescent="0.25">
      <c r="A47" s="823">
        <v>38</v>
      </c>
      <c r="B47" s="1236" t="s">
        <v>66</v>
      </c>
      <c r="C47" s="1236"/>
      <c r="D47" s="1259" t="str">
        <f>VLOOKUP($A47,'Pre-Assessment Estimator'!$A$10:$Z$225,D$2,FALSE)</f>
        <v>Hea 02</v>
      </c>
      <c r="E47" s="1260" t="str">
        <f>VLOOKUP($A47,'Pre-Assessment Estimator'!$A$10:$Z$225,E$2,FALSE)</f>
        <v xml:space="preserve">Pre-requisite: indoor air quality </v>
      </c>
      <c r="F47" s="574" t="str">
        <f>VLOOKUP($A47,'Pre-Assessment Estimator'!$A$10:$Z$225,F$2,FALSE)</f>
        <v>Yes/No</v>
      </c>
      <c r="G47" s="580" t="str">
        <f>IF(VLOOKUP($A47,'Pre-Assessment Estimator'!$A$10:$Z$225,G$2,FALSE)=0,"",VLOOKUP($A47,'Pre-Assessment Estimator'!$A$10:$Z$225,G$2,FALSE))</f>
        <v/>
      </c>
      <c r="H47" s="1222" t="str">
        <f>VLOOKUP($A47,'Pre-Assessment Estimator'!$A$10:$Z$225,H$2,FALSE)</f>
        <v>-</v>
      </c>
      <c r="I47" s="576" t="str">
        <f>VLOOKUP($A47,'Pre-Assessment Estimator'!$A$10:$Z$225,I$2,FALSE)</f>
        <v>Unclassified</v>
      </c>
      <c r="J47" s="577" t="str">
        <f>IF(VLOOKUP($A47,'Pre-Assessment Estimator'!$A$10:$Z$225,J$2,FALSE)=0,"",VLOOKUP($A47,'Pre-Assessment Estimator'!$A$10:$Z$225,J$2,FALSE))</f>
        <v/>
      </c>
      <c r="K47" s="577" t="str">
        <f>IF(VLOOKUP($A47,'Pre-Assessment Estimator'!$A$10:$Z$225,K$2,FALSE)=0,"",VLOOKUP($A47,'Pre-Assessment Estimator'!$A$10:$Z$225,K$2,FALSE))</f>
        <v/>
      </c>
      <c r="L47" s="578" t="str">
        <f>IF(VLOOKUP($A47,'Pre-Assessment Estimator'!$A$10:$Z$225,L$2,FALSE)=0,"",VLOOKUP($A47,'Pre-Assessment Estimator'!$A$10:$Z$225,L$2,FALSE))</f>
        <v/>
      </c>
      <c r="M47" s="579"/>
      <c r="N47" s="580" t="str">
        <f>IF(VLOOKUP($A47,'Pre-Assessment Estimator'!$A$10:$Z$225,N$2,FALSE)=0,"",VLOOKUP($A47,'Pre-Assessment Estimator'!$A$10:$Z$225,N$2,FALSE))</f>
        <v/>
      </c>
      <c r="O47" s="575" t="str">
        <f>VLOOKUP($A47,'Pre-Assessment Estimator'!$A$10:$Z$225,O$2,FALSE)</f>
        <v>-</v>
      </c>
      <c r="P47" s="574" t="str">
        <f>VLOOKUP($A47,'Pre-Assessment Estimator'!$A$10:$Z$225,P$2,FALSE)</f>
        <v>Unclassified</v>
      </c>
      <c r="Q47" s="577" t="str">
        <f>IF(VLOOKUP($A47,'Pre-Assessment Estimator'!$A$10:$Z$225,Q$2,FALSE)=0,"",VLOOKUP($A47,'Pre-Assessment Estimator'!$A$10:$Z$225,Q$2,FALSE))</f>
        <v/>
      </c>
      <c r="R47" s="577" t="str">
        <f>IF(VLOOKUP($A47,'Pre-Assessment Estimator'!$A$10:$Z$225,R$2,FALSE)=0,"",VLOOKUP($A47,'Pre-Assessment Estimator'!$A$10:$Z$225,R$2,FALSE))</f>
        <v/>
      </c>
      <c r="S47" s="578" t="str">
        <f>IF(VLOOKUP($A47,'Pre-Assessment Estimator'!$A$10:$Z$225,S$2,FALSE)=0,"",VLOOKUP($A47,'Pre-Assessment Estimator'!$A$10:$Z$225,S$2,FALSE))</f>
        <v/>
      </c>
      <c r="T47" s="581"/>
      <c r="U47" s="580" t="str">
        <f>IF(VLOOKUP($A47,'Pre-Assessment Estimator'!$A$10:$Z$225,U$2,FALSE)=0,"",VLOOKUP($A47,'Pre-Assessment Estimator'!$A$10:$Z$225,U$2,FALSE))</f>
        <v/>
      </c>
      <c r="V47" s="575" t="str">
        <f>VLOOKUP($A47,'Pre-Assessment Estimator'!$A$10:$Z$225,V$2,FALSE)</f>
        <v>-</v>
      </c>
      <c r="W47" s="574" t="str">
        <f>VLOOKUP($A47,'Pre-Assessment Estimator'!$A$10:$Z$225,W$2,FALSE)</f>
        <v>Unclassified</v>
      </c>
      <c r="X47" s="577" t="str">
        <f>IF(VLOOKUP($A47,'Pre-Assessment Estimator'!$A$10:$Z$225,X$2,FALSE)=0,"",VLOOKUP($A47,'Pre-Assessment Estimator'!$A$10:$Z$225,X$2,FALSE))</f>
        <v/>
      </c>
      <c r="Y47" s="577" t="str">
        <f>IF(VLOOKUP($A47,'Pre-Assessment Estimator'!$A$10:$Z$225,Y$2,FALSE)=0,"",VLOOKUP($A47,'Pre-Assessment Estimator'!$A$10:$Z$225,Y$2,FALSE))</f>
        <v/>
      </c>
      <c r="Z47" s="370" t="str">
        <f>IF(VLOOKUP($A47,'Pre-Assessment Estimator'!$A$10:$Z$225,Z$2,FALSE)=0,"",VLOOKUP($A47,'Pre-Assessment Estimator'!$A$10:$Z$225,Z$2,FALSE))</f>
        <v/>
      </c>
      <c r="AA47" s="696">
        <v>37</v>
      </c>
      <c r="AB47" s="577"/>
      <c r="AF47" s="386">
        <f t="shared" si="0"/>
        <v>1</v>
      </c>
      <c r="AN47" s="386"/>
      <c r="AO47" s="386"/>
      <c r="AP47" s="386"/>
    </row>
    <row r="48" spans="1:42" x14ac:dyDescent="0.25">
      <c r="A48" s="823">
        <v>39</v>
      </c>
      <c r="B48" s="1236" t="s">
        <v>66</v>
      </c>
      <c r="C48" s="1236"/>
      <c r="D48" s="1259" t="str">
        <f>VLOOKUP($A48,'Pre-Assessment Estimator'!$A$10:$Z$225,D$2,FALSE)</f>
        <v>Hea 02</v>
      </c>
      <c r="E48" s="1260" t="str">
        <f>VLOOKUP($A48,'Pre-Assessment Estimator'!$A$10:$Z$225,E$2,FALSE)</f>
        <v>Ventilation</v>
      </c>
      <c r="F48" s="574">
        <f>VLOOKUP($A48,'Pre-Assessment Estimator'!$A$10:$Z$225,F$2,FALSE)</f>
        <v>1</v>
      </c>
      <c r="G48" s="580" t="str">
        <f>IF(VLOOKUP($A48,'Pre-Assessment Estimator'!$A$10:$Z$225,G$2,FALSE)=0,"",VLOOKUP($A48,'Pre-Assessment Estimator'!$A$10:$Z$225,G$2,FALSE))</f>
        <v/>
      </c>
      <c r="H48" s="1222">
        <f>VLOOKUP($A48,'Pre-Assessment Estimator'!$A$10:$Z$225,H$2,FALSE)</f>
        <v>0</v>
      </c>
      <c r="I48" s="576" t="str">
        <f>VLOOKUP($A48,'Pre-Assessment Estimator'!$A$10:$Z$225,I$2,FALSE)</f>
        <v>N/A</v>
      </c>
      <c r="J48" s="577" t="str">
        <f>IF(VLOOKUP($A48,'Pre-Assessment Estimator'!$A$10:$Z$225,J$2,FALSE)=0,"",VLOOKUP($A48,'Pre-Assessment Estimator'!$A$10:$Z$225,J$2,FALSE))</f>
        <v/>
      </c>
      <c r="K48" s="577" t="str">
        <f>IF(VLOOKUP($A48,'Pre-Assessment Estimator'!$A$10:$Z$225,K$2,FALSE)=0,"",VLOOKUP($A48,'Pre-Assessment Estimator'!$A$10:$Z$225,K$2,FALSE))</f>
        <v/>
      </c>
      <c r="L48" s="578" t="str">
        <f>IF(VLOOKUP($A48,'Pre-Assessment Estimator'!$A$10:$Z$225,L$2,FALSE)=0,"",VLOOKUP($A48,'Pre-Assessment Estimator'!$A$10:$Z$225,L$2,FALSE))</f>
        <v/>
      </c>
      <c r="M48" s="579"/>
      <c r="N48" s="580" t="str">
        <f>IF(VLOOKUP($A48,'Pre-Assessment Estimator'!$A$10:$Z$225,N$2,FALSE)=0,"",VLOOKUP($A48,'Pre-Assessment Estimator'!$A$10:$Z$225,N$2,FALSE))</f>
        <v/>
      </c>
      <c r="O48" s="575">
        <f>VLOOKUP($A48,'Pre-Assessment Estimator'!$A$10:$Z$225,O$2,FALSE)</f>
        <v>0</v>
      </c>
      <c r="P48" s="574" t="str">
        <f>VLOOKUP($A48,'Pre-Assessment Estimator'!$A$10:$Z$225,P$2,FALSE)</f>
        <v>N/A</v>
      </c>
      <c r="Q48" s="577" t="str">
        <f>IF(VLOOKUP($A48,'Pre-Assessment Estimator'!$A$10:$Z$225,Q$2,FALSE)=0,"",VLOOKUP($A48,'Pre-Assessment Estimator'!$A$10:$Z$225,Q$2,FALSE))</f>
        <v/>
      </c>
      <c r="R48" s="577" t="str">
        <f>IF(VLOOKUP($A48,'Pre-Assessment Estimator'!$A$10:$Z$225,R$2,FALSE)=0,"",VLOOKUP($A48,'Pre-Assessment Estimator'!$A$10:$Z$225,R$2,FALSE))</f>
        <v/>
      </c>
      <c r="S48" s="578" t="str">
        <f>IF(VLOOKUP($A48,'Pre-Assessment Estimator'!$A$10:$Z$225,S$2,FALSE)=0,"",VLOOKUP($A48,'Pre-Assessment Estimator'!$A$10:$Z$225,S$2,FALSE))</f>
        <v/>
      </c>
      <c r="T48" s="581"/>
      <c r="U48" s="580" t="str">
        <f>IF(VLOOKUP($A48,'Pre-Assessment Estimator'!$A$10:$Z$225,U$2,FALSE)=0,"",VLOOKUP($A48,'Pre-Assessment Estimator'!$A$10:$Z$225,U$2,FALSE))</f>
        <v/>
      </c>
      <c r="V48" s="575">
        <f>VLOOKUP($A48,'Pre-Assessment Estimator'!$A$10:$Z$225,V$2,FALSE)</f>
        <v>0</v>
      </c>
      <c r="W48" s="574" t="str">
        <f>VLOOKUP($A48,'Pre-Assessment Estimator'!$A$10:$Z$225,W$2,FALSE)</f>
        <v>N/A</v>
      </c>
      <c r="X48" s="577" t="str">
        <f>IF(VLOOKUP($A48,'Pre-Assessment Estimator'!$A$10:$Z$225,X$2,FALSE)=0,"",VLOOKUP($A48,'Pre-Assessment Estimator'!$A$10:$Z$225,X$2,FALSE))</f>
        <v/>
      </c>
      <c r="Y48" s="577" t="str">
        <f>IF(VLOOKUP($A48,'Pre-Assessment Estimator'!$A$10:$Z$225,Y$2,FALSE)=0,"",VLOOKUP($A48,'Pre-Assessment Estimator'!$A$10:$Z$225,Y$2,FALSE))</f>
        <v/>
      </c>
      <c r="Z48" s="370" t="str">
        <f>IF(VLOOKUP($A48,'Pre-Assessment Estimator'!$A$10:$Z$225,Z$2,FALSE)=0,"",VLOOKUP($A48,'Pre-Assessment Estimator'!$A$10:$Z$225,Z$2,FALSE))</f>
        <v/>
      </c>
      <c r="AA48" s="696">
        <v>38</v>
      </c>
      <c r="AB48" s="577"/>
      <c r="AF48" s="386">
        <f t="shared" si="0"/>
        <v>1</v>
      </c>
      <c r="AN48" s="386"/>
      <c r="AO48" s="386"/>
      <c r="AP48" s="386"/>
    </row>
    <row r="49" spans="1:42" ht="30" x14ac:dyDescent="0.25">
      <c r="A49" s="823">
        <v>40</v>
      </c>
      <c r="B49" s="1236" t="s">
        <v>66</v>
      </c>
      <c r="C49" s="1236"/>
      <c r="D49" s="1259" t="str">
        <f>VLOOKUP($A49,'Pre-Assessment Estimator'!$A$10:$Z$225,D$2,FALSE)</f>
        <v>Hea 02</v>
      </c>
      <c r="E49" s="1260" t="str">
        <f>VLOOKUP($A49,'Pre-Assessment Estimator'!$A$10:$Z$225,E$2,FALSE)</f>
        <v>Emissions from construction products (EU taxonomy requirement: criterion 5)</v>
      </c>
      <c r="F49" s="574">
        <f>VLOOKUP($A49,'Pre-Assessment Estimator'!$A$10:$Z$225,F$2,FALSE)</f>
        <v>2</v>
      </c>
      <c r="G49" s="580" t="str">
        <f>IF(VLOOKUP($A49,'Pre-Assessment Estimator'!$A$10:$Z$225,G$2,FALSE)=0,"",VLOOKUP($A49,'Pre-Assessment Estimator'!$A$10:$Z$225,G$2,FALSE))</f>
        <v/>
      </c>
      <c r="H49" s="1222">
        <f>VLOOKUP($A49,'Pre-Assessment Estimator'!$A$10:$Z$225,H$2,FALSE)</f>
        <v>0</v>
      </c>
      <c r="I49" s="576" t="str">
        <f>VLOOKUP($A49,'Pre-Assessment Estimator'!$A$10:$Z$225,I$2,FALSE)</f>
        <v>Very Good</v>
      </c>
      <c r="J49" s="577" t="str">
        <f>IF(VLOOKUP($A49,'Pre-Assessment Estimator'!$A$10:$Z$225,J$2,FALSE)=0,"",VLOOKUP($A49,'Pre-Assessment Estimator'!$A$10:$Z$225,J$2,FALSE))</f>
        <v/>
      </c>
      <c r="K49" s="577" t="str">
        <f>IF(VLOOKUP($A49,'Pre-Assessment Estimator'!$A$10:$Z$225,K$2,FALSE)=0,"",VLOOKUP($A49,'Pre-Assessment Estimator'!$A$10:$Z$225,K$2,FALSE))</f>
        <v/>
      </c>
      <c r="L49" s="578" t="str">
        <f>IF(VLOOKUP($A49,'Pre-Assessment Estimator'!$A$10:$Z$225,L$2,FALSE)=0,"",VLOOKUP($A49,'Pre-Assessment Estimator'!$A$10:$Z$225,L$2,FALSE))</f>
        <v/>
      </c>
      <c r="M49" s="579"/>
      <c r="N49" s="580" t="str">
        <f>IF(VLOOKUP($A49,'Pre-Assessment Estimator'!$A$10:$Z$225,N$2,FALSE)=0,"",VLOOKUP($A49,'Pre-Assessment Estimator'!$A$10:$Z$225,N$2,FALSE))</f>
        <v/>
      </c>
      <c r="O49" s="575">
        <f>VLOOKUP($A49,'Pre-Assessment Estimator'!$A$10:$Z$225,O$2,FALSE)</f>
        <v>0</v>
      </c>
      <c r="P49" s="574" t="str">
        <f>VLOOKUP($A49,'Pre-Assessment Estimator'!$A$10:$Z$225,P$2,FALSE)</f>
        <v>Very Good</v>
      </c>
      <c r="Q49" s="577" t="str">
        <f>IF(VLOOKUP($A49,'Pre-Assessment Estimator'!$A$10:$Z$225,Q$2,FALSE)=0,"",VLOOKUP($A49,'Pre-Assessment Estimator'!$A$10:$Z$225,Q$2,FALSE))</f>
        <v/>
      </c>
      <c r="R49" s="577" t="str">
        <f>IF(VLOOKUP($A49,'Pre-Assessment Estimator'!$A$10:$Z$225,R$2,FALSE)=0,"",VLOOKUP($A49,'Pre-Assessment Estimator'!$A$10:$Z$225,R$2,FALSE))</f>
        <v/>
      </c>
      <c r="S49" s="578" t="str">
        <f>IF(VLOOKUP($A49,'Pre-Assessment Estimator'!$A$10:$Z$225,S$2,FALSE)=0,"",VLOOKUP($A49,'Pre-Assessment Estimator'!$A$10:$Z$225,S$2,FALSE))</f>
        <v/>
      </c>
      <c r="T49" s="581"/>
      <c r="U49" s="580" t="str">
        <f>IF(VLOOKUP($A49,'Pre-Assessment Estimator'!$A$10:$Z$225,U$2,FALSE)=0,"",VLOOKUP($A49,'Pre-Assessment Estimator'!$A$10:$Z$225,U$2,FALSE))</f>
        <v/>
      </c>
      <c r="V49" s="575">
        <f>VLOOKUP($A49,'Pre-Assessment Estimator'!$A$10:$Z$225,V$2,FALSE)</f>
        <v>0</v>
      </c>
      <c r="W49" s="574" t="str">
        <f>VLOOKUP($A49,'Pre-Assessment Estimator'!$A$10:$Z$225,W$2,FALSE)</f>
        <v>Very Good</v>
      </c>
      <c r="X49" s="577" t="str">
        <f>IF(VLOOKUP($A49,'Pre-Assessment Estimator'!$A$10:$Z$225,X$2,FALSE)=0,"",VLOOKUP($A49,'Pre-Assessment Estimator'!$A$10:$Z$225,X$2,FALSE))</f>
        <v/>
      </c>
      <c r="Y49" s="577" t="str">
        <f>IF(VLOOKUP($A49,'Pre-Assessment Estimator'!$A$10:$Z$225,Y$2,FALSE)=0,"",VLOOKUP($A49,'Pre-Assessment Estimator'!$A$10:$Z$225,Y$2,FALSE))</f>
        <v/>
      </c>
      <c r="Z49" s="370" t="str">
        <f>IF(VLOOKUP($A49,'Pre-Assessment Estimator'!$A$10:$Z$225,Z$2,FALSE)=0,"",VLOOKUP($A49,'Pre-Assessment Estimator'!$A$10:$Z$225,Z$2,FALSE))</f>
        <v/>
      </c>
      <c r="AA49" s="696">
        <v>39</v>
      </c>
      <c r="AB49" s="577"/>
      <c r="AF49" s="386">
        <f t="shared" si="0"/>
        <v>1</v>
      </c>
      <c r="AN49" s="386"/>
      <c r="AO49" s="386"/>
      <c r="AP49" s="386"/>
    </row>
    <row r="50" spans="1:42" x14ac:dyDescent="0.25">
      <c r="A50" s="823">
        <v>41</v>
      </c>
      <c r="B50" s="1236" t="s">
        <v>66</v>
      </c>
      <c r="C50" s="1236"/>
      <c r="D50" s="1259" t="str">
        <f>VLOOKUP($A50,'Pre-Assessment Estimator'!$A$10:$Z$225,D$2,FALSE)</f>
        <v>Hea 02</v>
      </c>
      <c r="E50" s="1260" t="str">
        <f>VLOOKUP($A50,'Pre-Assessment Estimator'!$A$10:$Z$225,E$2,FALSE)</f>
        <v xml:space="preserve">Post-construction indoor air quality measurement </v>
      </c>
      <c r="F50" s="574">
        <f>VLOOKUP($A50,'Pre-Assessment Estimator'!$A$10:$Z$225,F$2,FALSE)</f>
        <v>1</v>
      </c>
      <c r="G50" s="580" t="str">
        <f>IF(VLOOKUP($A50,'Pre-Assessment Estimator'!$A$10:$Z$225,G$2,FALSE)=0,"",VLOOKUP($A50,'Pre-Assessment Estimator'!$A$10:$Z$225,G$2,FALSE))</f>
        <v/>
      </c>
      <c r="H50" s="1222">
        <f>VLOOKUP($A50,'Pre-Assessment Estimator'!$A$10:$Z$225,H$2,FALSE)</f>
        <v>0</v>
      </c>
      <c r="I50" s="576" t="str">
        <f>VLOOKUP($A50,'Pre-Assessment Estimator'!$A$10:$Z$225,I$2,FALSE)</f>
        <v>N/A</v>
      </c>
      <c r="J50" s="577" t="str">
        <f>IF(VLOOKUP($A50,'Pre-Assessment Estimator'!$A$10:$Z$225,J$2,FALSE)=0,"",VLOOKUP($A50,'Pre-Assessment Estimator'!$A$10:$Z$225,J$2,FALSE))</f>
        <v/>
      </c>
      <c r="K50" s="577" t="str">
        <f>IF(VLOOKUP($A50,'Pre-Assessment Estimator'!$A$10:$Z$225,K$2,FALSE)=0,"",VLOOKUP($A50,'Pre-Assessment Estimator'!$A$10:$Z$225,K$2,FALSE))</f>
        <v/>
      </c>
      <c r="L50" s="578" t="str">
        <f>IF(VLOOKUP($A50,'Pre-Assessment Estimator'!$A$10:$Z$225,L$2,FALSE)=0,"",VLOOKUP($A50,'Pre-Assessment Estimator'!$A$10:$Z$225,L$2,FALSE))</f>
        <v/>
      </c>
      <c r="M50" s="579"/>
      <c r="N50" s="580" t="str">
        <f>IF(VLOOKUP($A50,'Pre-Assessment Estimator'!$A$10:$Z$225,N$2,FALSE)=0,"",VLOOKUP($A50,'Pre-Assessment Estimator'!$A$10:$Z$225,N$2,FALSE))</f>
        <v/>
      </c>
      <c r="O50" s="575">
        <f>VLOOKUP($A50,'Pre-Assessment Estimator'!$A$10:$Z$225,O$2,FALSE)</f>
        <v>0</v>
      </c>
      <c r="P50" s="574" t="str">
        <f>VLOOKUP($A50,'Pre-Assessment Estimator'!$A$10:$Z$225,P$2,FALSE)</f>
        <v>N/A</v>
      </c>
      <c r="Q50" s="577" t="str">
        <f>IF(VLOOKUP($A50,'Pre-Assessment Estimator'!$A$10:$Z$225,Q$2,FALSE)=0,"",VLOOKUP($A50,'Pre-Assessment Estimator'!$A$10:$Z$225,Q$2,FALSE))</f>
        <v/>
      </c>
      <c r="R50" s="577" t="str">
        <f>IF(VLOOKUP($A50,'Pre-Assessment Estimator'!$A$10:$Z$225,R$2,FALSE)=0,"",VLOOKUP($A50,'Pre-Assessment Estimator'!$A$10:$Z$225,R$2,FALSE))</f>
        <v/>
      </c>
      <c r="S50" s="578" t="str">
        <f>IF(VLOOKUP($A50,'Pre-Assessment Estimator'!$A$10:$Z$225,S$2,FALSE)=0,"",VLOOKUP($A50,'Pre-Assessment Estimator'!$A$10:$Z$225,S$2,FALSE))</f>
        <v/>
      </c>
      <c r="T50" s="581"/>
      <c r="U50" s="580" t="str">
        <f>IF(VLOOKUP($A50,'Pre-Assessment Estimator'!$A$10:$Z$225,U$2,FALSE)=0,"",VLOOKUP($A50,'Pre-Assessment Estimator'!$A$10:$Z$225,U$2,FALSE))</f>
        <v/>
      </c>
      <c r="V50" s="575">
        <f>VLOOKUP($A50,'Pre-Assessment Estimator'!$A$10:$Z$225,V$2,FALSE)</f>
        <v>0</v>
      </c>
      <c r="W50" s="574" t="str">
        <f>VLOOKUP($A50,'Pre-Assessment Estimator'!$A$10:$Z$225,W$2,FALSE)</f>
        <v>N/A</v>
      </c>
      <c r="X50" s="577" t="str">
        <f>IF(VLOOKUP($A50,'Pre-Assessment Estimator'!$A$10:$Z$225,X$2,FALSE)=0,"",VLOOKUP($A50,'Pre-Assessment Estimator'!$A$10:$Z$225,X$2,FALSE))</f>
        <v/>
      </c>
      <c r="Y50" s="577" t="str">
        <f>IF(VLOOKUP($A50,'Pre-Assessment Estimator'!$A$10:$Z$225,Y$2,FALSE)=0,"",VLOOKUP($A50,'Pre-Assessment Estimator'!$A$10:$Z$225,Y$2,FALSE))</f>
        <v/>
      </c>
      <c r="Z50" s="370" t="str">
        <f>IF(VLOOKUP($A50,'Pre-Assessment Estimator'!$A$10:$Z$225,Z$2,FALSE)=0,"",VLOOKUP($A50,'Pre-Assessment Estimator'!$A$10:$Z$225,Z$2,FALSE))</f>
        <v/>
      </c>
      <c r="AA50" s="696">
        <v>40</v>
      </c>
      <c r="AB50" s="577"/>
      <c r="AF50" s="386">
        <f t="shared" si="0"/>
        <v>1</v>
      </c>
      <c r="AN50" s="386"/>
      <c r="AO50" s="386"/>
      <c r="AP50" s="386"/>
    </row>
    <row r="51" spans="1:42" x14ac:dyDescent="0.25">
      <c r="A51" s="823">
        <v>42</v>
      </c>
      <c r="B51" s="1236" t="s">
        <v>66</v>
      </c>
      <c r="C51" s="1236"/>
      <c r="D51" s="1258" t="str">
        <f>VLOOKUP($A51,'Pre-Assessment Estimator'!$A$10:$Z$225,D$2,FALSE)</f>
        <v>Hea 03</v>
      </c>
      <c r="E51" s="1258" t="str">
        <f>VLOOKUP($A51,'Pre-Assessment Estimator'!$A$10:$Z$225,E$2,FALSE)</f>
        <v>Hea 03 Thermal comfort</v>
      </c>
      <c r="F51" s="574">
        <f>VLOOKUP($A51,'Pre-Assessment Estimator'!$A$10:$Z$225,F$2,FALSE)</f>
        <v>3</v>
      </c>
      <c r="G51" s="580" t="str">
        <f>IF(VLOOKUP($A51,'Pre-Assessment Estimator'!$A$10:$Z$225,G$2,FALSE)=0,"",VLOOKUP($A51,'Pre-Assessment Estimator'!$A$10:$Z$225,G$2,FALSE))</f>
        <v/>
      </c>
      <c r="H51" s="1222" t="str">
        <f>VLOOKUP($A51,'Pre-Assessment Estimator'!$A$10:$Z$225,H$2,FALSE)</f>
        <v>0 c. 0 %</v>
      </c>
      <c r="I51" s="576" t="str">
        <f>VLOOKUP($A51,'Pre-Assessment Estimator'!$A$10:$Z$225,I$2,FALSE)</f>
        <v>N/A</v>
      </c>
      <c r="J51" s="577" t="str">
        <f>IF(VLOOKUP($A51,'Pre-Assessment Estimator'!$A$10:$Z$225,J$2,FALSE)=0,"",VLOOKUP($A51,'Pre-Assessment Estimator'!$A$10:$Z$225,J$2,FALSE))</f>
        <v/>
      </c>
      <c r="K51" s="577" t="str">
        <f>IF(VLOOKUP($A51,'Pre-Assessment Estimator'!$A$10:$Z$225,K$2,FALSE)=0,"",VLOOKUP($A51,'Pre-Assessment Estimator'!$A$10:$Z$225,K$2,FALSE))</f>
        <v/>
      </c>
      <c r="L51" s="578" t="str">
        <f>IF(VLOOKUP($A51,'Pre-Assessment Estimator'!$A$10:$Z$225,L$2,FALSE)=0,"",VLOOKUP($A51,'Pre-Assessment Estimator'!$A$10:$Z$225,L$2,FALSE))</f>
        <v/>
      </c>
      <c r="M51" s="579"/>
      <c r="N51" s="580" t="str">
        <f>IF(VLOOKUP($A51,'Pre-Assessment Estimator'!$A$10:$Z$225,N$2,FALSE)=0,"",VLOOKUP($A51,'Pre-Assessment Estimator'!$A$10:$Z$225,N$2,FALSE))</f>
        <v/>
      </c>
      <c r="O51" s="575" t="str">
        <f>VLOOKUP($A51,'Pre-Assessment Estimator'!$A$10:$Z$225,O$2,FALSE)</f>
        <v>0 c. 0 %</v>
      </c>
      <c r="P51" s="574" t="str">
        <f>VLOOKUP($A51,'Pre-Assessment Estimator'!$A$10:$Z$225,P$2,FALSE)</f>
        <v>N/A</v>
      </c>
      <c r="Q51" s="577" t="str">
        <f>IF(VLOOKUP($A51,'Pre-Assessment Estimator'!$A$10:$Z$225,Q$2,FALSE)=0,"",VLOOKUP($A51,'Pre-Assessment Estimator'!$A$10:$Z$225,Q$2,FALSE))</f>
        <v/>
      </c>
      <c r="R51" s="577" t="str">
        <f>IF(VLOOKUP($A51,'Pre-Assessment Estimator'!$A$10:$Z$225,R$2,FALSE)=0,"",VLOOKUP($A51,'Pre-Assessment Estimator'!$A$10:$Z$225,R$2,FALSE))</f>
        <v/>
      </c>
      <c r="S51" s="578" t="str">
        <f>IF(VLOOKUP($A51,'Pre-Assessment Estimator'!$A$10:$Z$225,S$2,FALSE)=0,"",VLOOKUP($A51,'Pre-Assessment Estimator'!$A$10:$Z$225,S$2,FALSE))</f>
        <v/>
      </c>
      <c r="T51" s="581"/>
      <c r="U51" s="580" t="str">
        <f>IF(VLOOKUP($A51,'Pre-Assessment Estimator'!$A$10:$Z$225,U$2,FALSE)=0,"",VLOOKUP($A51,'Pre-Assessment Estimator'!$A$10:$Z$225,U$2,FALSE))</f>
        <v/>
      </c>
      <c r="V51" s="575" t="str">
        <f>VLOOKUP($A51,'Pre-Assessment Estimator'!$A$10:$Z$225,V$2,FALSE)</f>
        <v>0 c. 0 %</v>
      </c>
      <c r="W51" s="574" t="str">
        <f>VLOOKUP($A51,'Pre-Assessment Estimator'!$A$10:$Z$225,W$2,FALSE)</f>
        <v>N/A</v>
      </c>
      <c r="X51" s="577" t="str">
        <f>IF(VLOOKUP($A51,'Pre-Assessment Estimator'!$A$10:$Z$225,X$2,FALSE)=0,"",VLOOKUP($A51,'Pre-Assessment Estimator'!$A$10:$Z$225,X$2,FALSE))</f>
        <v/>
      </c>
      <c r="Y51" s="577" t="str">
        <f>IF(VLOOKUP($A51,'Pre-Assessment Estimator'!$A$10:$Z$225,Y$2,FALSE)=0,"",VLOOKUP($A51,'Pre-Assessment Estimator'!$A$10:$Z$225,Y$2,FALSE))</f>
        <v/>
      </c>
      <c r="Z51" s="370" t="str">
        <f>IF(VLOOKUP($A51,'Pre-Assessment Estimator'!$A$10:$Z$225,Z$2,FALSE)=0,"",VLOOKUP($A51,'Pre-Assessment Estimator'!$A$10:$Z$225,Z$2,FALSE))</f>
        <v/>
      </c>
      <c r="AA51" s="696">
        <v>41</v>
      </c>
      <c r="AB51" s="577"/>
      <c r="AF51" s="386">
        <f t="shared" si="0"/>
        <v>1</v>
      </c>
      <c r="AN51" s="386"/>
      <c r="AO51" s="386"/>
      <c r="AP51" s="386"/>
    </row>
    <row r="52" spans="1:42" x14ac:dyDescent="0.25">
      <c r="A52" s="823">
        <v>43</v>
      </c>
      <c r="B52" s="1236" t="s">
        <v>66</v>
      </c>
      <c r="C52" s="1236"/>
      <c r="D52" s="1259" t="str">
        <f>VLOOKUP($A52,'Pre-Assessment Estimator'!$A$10:$Z$225,D$2,FALSE)</f>
        <v>Hea 03</v>
      </c>
      <c r="E52" s="1260" t="str">
        <f>VLOOKUP($A52,'Pre-Assessment Estimator'!$A$10:$Z$225,E$2,FALSE)</f>
        <v xml:space="preserve">Thermal modelling </v>
      </c>
      <c r="F52" s="574">
        <f>VLOOKUP($A52,'Pre-Assessment Estimator'!$A$10:$Z$225,F$2,FALSE)</f>
        <v>1</v>
      </c>
      <c r="G52" s="580" t="str">
        <f>IF(VLOOKUP($A52,'Pre-Assessment Estimator'!$A$10:$Z$225,G$2,FALSE)=0,"",VLOOKUP($A52,'Pre-Assessment Estimator'!$A$10:$Z$225,G$2,FALSE))</f>
        <v/>
      </c>
      <c r="H52" s="1222">
        <f>VLOOKUP($A52,'Pre-Assessment Estimator'!$A$10:$Z$225,H$2,FALSE)</f>
        <v>0</v>
      </c>
      <c r="I52" s="576" t="str">
        <f>VLOOKUP($A52,'Pre-Assessment Estimator'!$A$10:$Z$225,I$2,FALSE)</f>
        <v>N/A</v>
      </c>
      <c r="J52" s="577" t="str">
        <f>IF(VLOOKUP($A52,'Pre-Assessment Estimator'!$A$10:$Z$225,J$2,FALSE)=0,"",VLOOKUP($A52,'Pre-Assessment Estimator'!$A$10:$Z$225,J$2,FALSE))</f>
        <v/>
      </c>
      <c r="K52" s="577" t="str">
        <f>IF(VLOOKUP($A52,'Pre-Assessment Estimator'!$A$10:$Z$225,K$2,FALSE)=0,"",VLOOKUP($A52,'Pre-Assessment Estimator'!$A$10:$Z$225,K$2,FALSE))</f>
        <v/>
      </c>
      <c r="L52" s="578" t="str">
        <f>IF(VLOOKUP($A52,'Pre-Assessment Estimator'!$A$10:$Z$225,L$2,FALSE)=0,"",VLOOKUP($A52,'Pre-Assessment Estimator'!$A$10:$Z$225,L$2,FALSE))</f>
        <v/>
      </c>
      <c r="M52" s="579"/>
      <c r="N52" s="580" t="str">
        <f>IF(VLOOKUP($A52,'Pre-Assessment Estimator'!$A$10:$Z$225,N$2,FALSE)=0,"",VLOOKUP($A52,'Pre-Assessment Estimator'!$A$10:$Z$225,N$2,FALSE))</f>
        <v/>
      </c>
      <c r="O52" s="575">
        <f>VLOOKUP($A52,'Pre-Assessment Estimator'!$A$10:$Z$225,O$2,FALSE)</f>
        <v>0</v>
      </c>
      <c r="P52" s="574" t="str">
        <f>VLOOKUP($A52,'Pre-Assessment Estimator'!$A$10:$Z$225,P$2,FALSE)</f>
        <v>N/A</v>
      </c>
      <c r="Q52" s="577" t="str">
        <f>IF(VLOOKUP($A52,'Pre-Assessment Estimator'!$A$10:$Z$225,Q$2,FALSE)=0,"",VLOOKUP($A52,'Pre-Assessment Estimator'!$A$10:$Z$225,Q$2,FALSE))</f>
        <v/>
      </c>
      <c r="R52" s="577" t="str">
        <f>IF(VLOOKUP($A52,'Pre-Assessment Estimator'!$A$10:$Z$225,R$2,FALSE)=0,"",VLOOKUP($A52,'Pre-Assessment Estimator'!$A$10:$Z$225,R$2,FALSE))</f>
        <v/>
      </c>
      <c r="S52" s="578" t="str">
        <f>IF(VLOOKUP($A52,'Pre-Assessment Estimator'!$A$10:$Z$225,S$2,FALSE)=0,"",VLOOKUP($A52,'Pre-Assessment Estimator'!$A$10:$Z$225,S$2,FALSE))</f>
        <v/>
      </c>
      <c r="T52" s="581"/>
      <c r="U52" s="580" t="str">
        <f>IF(VLOOKUP($A52,'Pre-Assessment Estimator'!$A$10:$Z$225,U$2,FALSE)=0,"",VLOOKUP($A52,'Pre-Assessment Estimator'!$A$10:$Z$225,U$2,FALSE))</f>
        <v/>
      </c>
      <c r="V52" s="575">
        <f>VLOOKUP($A52,'Pre-Assessment Estimator'!$A$10:$Z$225,V$2,FALSE)</f>
        <v>0</v>
      </c>
      <c r="W52" s="574" t="str">
        <f>VLOOKUP($A52,'Pre-Assessment Estimator'!$A$10:$Z$225,W$2,FALSE)</f>
        <v>N/A</v>
      </c>
      <c r="X52" s="577" t="str">
        <f>IF(VLOOKUP($A52,'Pre-Assessment Estimator'!$A$10:$Z$225,X$2,FALSE)=0,"",VLOOKUP($A52,'Pre-Assessment Estimator'!$A$10:$Z$225,X$2,FALSE))</f>
        <v/>
      </c>
      <c r="Y52" s="577" t="str">
        <f>IF(VLOOKUP($A52,'Pre-Assessment Estimator'!$A$10:$Z$225,Y$2,FALSE)=0,"",VLOOKUP($A52,'Pre-Assessment Estimator'!$A$10:$Z$225,Y$2,FALSE))</f>
        <v/>
      </c>
      <c r="Z52" s="370" t="str">
        <f>IF(VLOOKUP($A52,'Pre-Assessment Estimator'!$A$10:$Z$225,Z$2,FALSE)=0,"",VLOOKUP($A52,'Pre-Assessment Estimator'!$A$10:$Z$225,Z$2,FALSE))</f>
        <v/>
      </c>
      <c r="AA52" s="696">
        <v>42</v>
      </c>
      <c r="AB52" s="577"/>
      <c r="AF52" s="386">
        <f t="shared" si="0"/>
        <v>1</v>
      </c>
      <c r="AN52" s="386"/>
      <c r="AO52" s="386"/>
      <c r="AP52" s="386"/>
    </row>
    <row r="53" spans="1:42" x14ac:dyDescent="0.25">
      <c r="A53" s="823">
        <v>44</v>
      </c>
      <c r="B53" s="1236" t="s">
        <v>66</v>
      </c>
      <c r="C53" s="1236"/>
      <c r="D53" s="1259" t="str">
        <f>VLOOKUP($A53,'Pre-Assessment Estimator'!$A$10:$Z$225,D$2,FALSE)</f>
        <v>Hea 03</v>
      </c>
      <c r="E53" s="1260" t="str">
        <f>VLOOKUP($A53,'Pre-Assessment Estimator'!$A$10:$Z$225,E$2,FALSE)</f>
        <v xml:space="preserve">Design for future thermal comfort </v>
      </c>
      <c r="F53" s="574">
        <f>VLOOKUP($A53,'Pre-Assessment Estimator'!$A$10:$Z$225,F$2,FALSE)</f>
        <v>1</v>
      </c>
      <c r="G53" s="580" t="str">
        <f>IF(VLOOKUP($A53,'Pre-Assessment Estimator'!$A$10:$Z$225,G$2,FALSE)=0,"",VLOOKUP($A53,'Pre-Assessment Estimator'!$A$10:$Z$225,G$2,FALSE))</f>
        <v/>
      </c>
      <c r="H53" s="1222">
        <f>VLOOKUP($A53,'Pre-Assessment Estimator'!$A$10:$Z$225,H$2,FALSE)</f>
        <v>0</v>
      </c>
      <c r="I53" s="576" t="str">
        <f>VLOOKUP($A53,'Pre-Assessment Estimator'!$A$10:$Z$225,I$2,FALSE)</f>
        <v>N/A</v>
      </c>
      <c r="J53" s="577" t="str">
        <f>IF(VLOOKUP($A53,'Pre-Assessment Estimator'!$A$10:$Z$225,J$2,FALSE)=0,"",VLOOKUP($A53,'Pre-Assessment Estimator'!$A$10:$Z$225,J$2,FALSE))</f>
        <v/>
      </c>
      <c r="K53" s="577" t="str">
        <f>IF(VLOOKUP($A53,'Pre-Assessment Estimator'!$A$10:$Z$225,K$2,FALSE)=0,"",VLOOKUP($A53,'Pre-Assessment Estimator'!$A$10:$Z$225,K$2,FALSE))</f>
        <v/>
      </c>
      <c r="L53" s="578" t="str">
        <f>IF(VLOOKUP($A53,'Pre-Assessment Estimator'!$A$10:$Z$225,L$2,FALSE)=0,"",VLOOKUP($A53,'Pre-Assessment Estimator'!$A$10:$Z$225,L$2,FALSE))</f>
        <v/>
      </c>
      <c r="M53" s="579"/>
      <c r="N53" s="580" t="str">
        <f>IF(VLOOKUP($A53,'Pre-Assessment Estimator'!$A$10:$Z$225,N$2,FALSE)=0,"",VLOOKUP($A53,'Pre-Assessment Estimator'!$A$10:$Z$225,N$2,FALSE))</f>
        <v/>
      </c>
      <c r="O53" s="575">
        <f>VLOOKUP($A53,'Pre-Assessment Estimator'!$A$10:$Z$225,O$2,FALSE)</f>
        <v>0</v>
      </c>
      <c r="P53" s="574" t="str">
        <f>VLOOKUP($A53,'Pre-Assessment Estimator'!$A$10:$Z$225,P$2,FALSE)</f>
        <v>N/A</v>
      </c>
      <c r="Q53" s="577" t="str">
        <f>IF(VLOOKUP($A53,'Pre-Assessment Estimator'!$A$10:$Z$225,Q$2,FALSE)=0,"",VLOOKUP($A53,'Pre-Assessment Estimator'!$A$10:$Z$225,Q$2,FALSE))</f>
        <v/>
      </c>
      <c r="R53" s="577" t="str">
        <f>IF(VLOOKUP($A53,'Pre-Assessment Estimator'!$A$10:$Z$225,R$2,FALSE)=0,"",VLOOKUP($A53,'Pre-Assessment Estimator'!$A$10:$Z$225,R$2,FALSE))</f>
        <v/>
      </c>
      <c r="S53" s="578" t="str">
        <f>IF(VLOOKUP($A53,'Pre-Assessment Estimator'!$A$10:$Z$225,S$2,FALSE)=0,"",VLOOKUP($A53,'Pre-Assessment Estimator'!$A$10:$Z$225,S$2,FALSE))</f>
        <v/>
      </c>
      <c r="T53" s="581"/>
      <c r="U53" s="580" t="str">
        <f>IF(VLOOKUP($A53,'Pre-Assessment Estimator'!$A$10:$Z$225,U$2,FALSE)=0,"",VLOOKUP($A53,'Pre-Assessment Estimator'!$A$10:$Z$225,U$2,FALSE))</f>
        <v/>
      </c>
      <c r="V53" s="575">
        <f>VLOOKUP($A53,'Pre-Assessment Estimator'!$A$10:$Z$225,V$2,FALSE)</f>
        <v>0</v>
      </c>
      <c r="W53" s="574" t="str">
        <f>VLOOKUP($A53,'Pre-Assessment Estimator'!$A$10:$Z$225,W$2,FALSE)</f>
        <v>N/A</v>
      </c>
      <c r="X53" s="577" t="str">
        <f>IF(VLOOKUP($A53,'Pre-Assessment Estimator'!$A$10:$Z$225,X$2,FALSE)=0,"",VLOOKUP($A53,'Pre-Assessment Estimator'!$A$10:$Z$225,X$2,FALSE))</f>
        <v/>
      </c>
      <c r="Y53" s="577" t="str">
        <f>IF(VLOOKUP($A53,'Pre-Assessment Estimator'!$A$10:$Z$225,Y$2,FALSE)=0,"",VLOOKUP($A53,'Pre-Assessment Estimator'!$A$10:$Z$225,Y$2,FALSE))</f>
        <v/>
      </c>
      <c r="Z53" s="370" t="str">
        <f>IF(VLOOKUP($A53,'Pre-Assessment Estimator'!$A$10:$Z$225,Z$2,FALSE)=0,"",VLOOKUP($A53,'Pre-Assessment Estimator'!$A$10:$Z$225,Z$2,FALSE))</f>
        <v/>
      </c>
      <c r="AA53" s="696">
        <v>43</v>
      </c>
      <c r="AB53" s="577"/>
      <c r="AF53" s="386">
        <f t="shared" si="0"/>
        <v>1</v>
      </c>
      <c r="AN53" s="386"/>
      <c r="AO53" s="386"/>
      <c r="AP53" s="386"/>
    </row>
    <row r="54" spans="1:42" x14ac:dyDescent="0.25">
      <c r="A54" s="823">
        <v>45</v>
      </c>
      <c r="B54" s="1236" t="s">
        <v>66</v>
      </c>
      <c r="C54" s="1236"/>
      <c r="D54" s="1259" t="str">
        <f>VLOOKUP($A54,'Pre-Assessment Estimator'!$A$10:$Z$225,D$2,FALSE)</f>
        <v>Hea 03</v>
      </c>
      <c r="E54" s="1260" t="str">
        <f>VLOOKUP($A54,'Pre-Assessment Estimator'!$A$10:$Z$225,E$2,FALSE)</f>
        <v xml:space="preserve">Thermal zoning and controls </v>
      </c>
      <c r="F54" s="574">
        <f>VLOOKUP($A54,'Pre-Assessment Estimator'!$A$10:$Z$225,F$2,FALSE)</f>
        <v>1</v>
      </c>
      <c r="G54" s="580" t="str">
        <f>IF(VLOOKUP($A54,'Pre-Assessment Estimator'!$A$10:$Z$225,G$2,FALSE)=0,"",VLOOKUP($A54,'Pre-Assessment Estimator'!$A$10:$Z$225,G$2,FALSE))</f>
        <v/>
      </c>
      <c r="H54" s="1222">
        <f>VLOOKUP($A54,'Pre-Assessment Estimator'!$A$10:$Z$225,H$2,FALSE)</f>
        <v>0</v>
      </c>
      <c r="I54" s="576" t="str">
        <f>VLOOKUP($A54,'Pre-Assessment Estimator'!$A$10:$Z$225,I$2,FALSE)</f>
        <v>N/A</v>
      </c>
      <c r="J54" s="577" t="str">
        <f>IF(VLOOKUP($A54,'Pre-Assessment Estimator'!$A$10:$Z$225,J$2,FALSE)=0,"",VLOOKUP($A54,'Pre-Assessment Estimator'!$A$10:$Z$225,J$2,FALSE))</f>
        <v/>
      </c>
      <c r="K54" s="577" t="str">
        <f>IF(VLOOKUP($A54,'Pre-Assessment Estimator'!$A$10:$Z$225,K$2,FALSE)=0,"",VLOOKUP($A54,'Pre-Assessment Estimator'!$A$10:$Z$225,K$2,FALSE))</f>
        <v/>
      </c>
      <c r="L54" s="578" t="str">
        <f>IF(VLOOKUP($A54,'Pre-Assessment Estimator'!$A$10:$Z$225,L$2,FALSE)=0,"",VLOOKUP($A54,'Pre-Assessment Estimator'!$A$10:$Z$225,L$2,FALSE))</f>
        <v/>
      </c>
      <c r="M54" s="579"/>
      <c r="N54" s="580" t="str">
        <f>IF(VLOOKUP($A54,'Pre-Assessment Estimator'!$A$10:$Z$225,N$2,FALSE)=0,"",VLOOKUP($A54,'Pre-Assessment Estimator'!$A$10:$Z$225,N$2,FALSE))</f>
        <v/>
      </c>
      <c r="O54" s="575">
        <f>VLOOKUP($A54,'Pre-Assessment Estimator'!$A$10:$Z$225,O$2,FALSE)</f>
        <v>0</v>
      </c>
      <c r="P54" s="574" t="str">
        <f>VLOOKUP($A54,'Pre-Assessment Estimator'!$A$10:$Z$225,P$2,FALSE)</f>
        <v>N/A</v>
      </c>
      <c r="Q54" s="577" t="str">
        <f>IF(VLOOKUP($A54,'Pre-Assessment Estimator'!$A$10:$Z$225,Q$2,FALSE)=0,"",VLOOKUP($A54,'Pre-Assessment Estimator'!$A$10:$Z$225,Q$2,FALSE))</f>
        <v/>
      </c>
      <c r="R54" s="577" t="str">
        <f>IF(VLOOKUP($A54,'Pre-Assessment Estimator'!$A$10:$Z$225,R$2,FALSE)=0,"",VLOOKUP($A54,'Pre-Assessment Estimator'!$A$10:$Z$225,R$2,FALSE))</f>
        <v/>
      </c>
      <c r="S54" s="578" t="str">
        <f>IF(VLOOKUP($A54,'Pre-Assessment Estimator'!$A$10:$Z$225,S$2,FALSE)=0,"",VLOOKUP($A54,'Pre-Assessment Estimator'!$A$10:$Z$225,S$2,FALSE))</f>
        <v/>
      </c>
      <c r="T54" s="581"/>
      <c r="U54" s="580" t="str">
        <f>IF(VLOOKUP($A54,'Pre-Assessment Estimator'!$A$10:$Z$225,U$2,FALSE)=0,"",VLOOKUP($A54,'Pre-Assessment Estimator'!$A$10:$Z$225,U$2,FALSE))</f>
        <v/>
      </c>
      <c r="V54" s="575">
        <f>VLOOKUP($A54,'Pre-Assessment Estimator'!$A$10:$Z$225,V$2,FALSE)</f>
        <v>0</v>
      </c>
      <c r="W54" s="574" t="str">
        <f>VLOOKUP($A54,'Pre-Assessment Estimator'!$A$10:$Z$225,W$2,FALSE)</f>
        <v>N/A</v>
      </c>
      <c r="X54" s="577" t="str">
        <f>IF(VLOOKUP($A54,'Pre-Assessment Estimator'!$A$10:$Z$225,X$2,FALSE)=0,"",VLOOKUP($A54,'Pre-Assessment Estimator'!$A$10:$Z$225,X$2,FALSE))</f>
        <v/>
      </c>
      <c r="Y54" s="577" t="str">
        <f>IF(VLOOKUP($A54,'Pre-Assessment Estimator'!$A$10:$Z$225,Y$2,FALSE)=0,"",VLOOKUP($A54,'Pre-Assessment Estimator'!$A$10:$Z$225,Y$2,FALSE))</f>
        <v/>
      </c>
      <c r="Z54" s="370" t="str">
        <f>IF(VLOOKUP($A54,'Pre-Assessment Estimator'!$A$10:$Z$225,Z$2,FALSE)=0,"",VLOOKUP($A54,'Pre-Assessment Estimator'!$A$10:$Z$225,Z$2,FALSE))</f>
        <v/>
      </c>
      <c r="AA54" s="696">
        <v>44</v>
      </c>
      <c r="AB54" s="577"/>
      <c r="AF54" s="386">
        <f t="shared" si="0"/>
        <v>1</v>
      </c>
      <c r="AN54" s="386"/>
      <c r="AO54" s="386"/>
      <c r="AP54" s="386"/>
    </row>
    <row r="55" spans="1:42" x14ac:dyDescent="0.25">
      <c r="A55" s="823">
        <v>46</v>
      </c>
      <c r="B55" s="1236" t="s">
        <v>66</v>
      </c>
      <c r="C55" s="1236"/>
      <c r="D55" s="1258" t="str">
        <f>VLOOKUP($A55,'Pre-Assessment Estimator'!$A$10:$Z$225,D$2,FALSE)</f>
        <v>Hea 05</v>
      </c>
      <c r="E55" s="1258" t="str">
        <f>VLOOKUP($A55,'Pre-Assessment Estimator'!$A$10:$Z$225,E$2,FALSE)</f>
        <v>Hea 05 Acoustic performance</v>
      </c>
      <c r="F55" s="574">
        <f>VLOOKUP($A55,'Pre-Assessment Estimator'!$A$10:$Z$225,F$2,FALSE)</f>
        <v>3</v>
      </c>
      <c r="G55" s="580" t="str">
        <f>IF(VLOOKUP($A55,'Pre-Assessment Estimator'!$A$10:$Z$225,G$2,FALSE)=0,"",VLOOKUP($A55,'Pre-Assessment Estimator'!$A$10:$Z$225,G$2,FALSE))</f>
        <v/>
      </c>
      <c r="H55" s="1222" t="str">
        <f>VLOOKUP($A55,'Pre-Assessment Estimator'!$A$10:$Z$225,H$2,FALSE)</f>
        <v>0 c. 0 %</v>
      </c>
      <c r="I55" s="576" t="str">
        <f>VLOOKUP($A55,'Pre-Assessment Estimator'!$A$10:$Z$225,I$2,FALSE)</f>
        <v>N/A</v>
      </c>
      <c r="J55" s="577" t="str">
        <f>IF(VLOOKUP($A55,'Pre-Assessment Estimator'!$A$10:$Z$225,J$2,FALSE)=0,"",VLOOKUP($A55,'Pre-Assessment Estimator'!$A$10:$Z$225,J$2,FALSE))</f>
        <v/>
      </c>
      <c r="K55" s="577" t="str">
        <f>IF(VLOOKUP($A55,'Pre-Assessment Estimator'!$A$10:$Z$225,K$2,FALSE)=0,"",VLOOKUP($A55,'Pre-Assessment Estimator'!$A$10:$Z$225,K$2,FALSE))</f>
        <v/>
      </c>
      <c r="L55" s="578" t="str">
        <f>IF(VLOOKUP($A55,'Pre-Assessment Estimator'!$A$10:$Z$225,L$2,FALSE)=0,"",VLOOKUP($A55,'Pre-Assessment Estimator'!$A$10:$Z$225,L$2,FALSE))</f>
        <v/>
      </c>
      <c r="M55" s="579"/>
      <c r="N55" s="580" t="str">
        <f>IF(VLOOKUP($A55,'Pre-Assessment Estimator'!$A$10:$Z$225,N$2,FALSE)=0,"",VLOOKUP($A55,'Pre-Assessment Estimator'!$A$10:$Z$225,N$2,FALSE))</f>
        <v/>
      </c>
      <c r="O55" s="575" t="str">
        <f>VLOOKUP($A55,'Pre-Assessment Estimator'!$A$10:$Z$225,O$2,FALSE)</f>
        <v>0 c. 0 %</v>
      </c>
      <c r="P55" s="574" t="str">
        <f>VLOOKUP($A55,'Pre-Assessment Estimator'!$A$10:$Z$225,P$2,FALSE)</f>
        <v>N/A</v>
      </c>
      <c r="Q55" s="577" t="str">
        <f>IF(VLOOKUP($A55,'Pre-Assessment Estimator'!$A$10:$Z$225,Q$2,FALSE)=0,"",VLOOKUP($A55,'Pre-Assessment Estimator'!$A$10:$Z$225,Q$2,FALSE))</f>
        <v/>
      </c>
      <c r="R55" s="577" t="str">
        <f>IF(VLOOKUP($A55,'Pre-Assessment Estimator'!$A$10:$Z$225,R$2,FALSE)=0,"",VLOOKUP($A55,'Pre-Assessment Estimator'!$A$10:$Z$225,R$2,FALSE))</f>
        <v/>
      </c>
      <c r="S55" s="578" t="str">
        <f>IF(VLOOKUP($A55,'Pre-Assessment Estimator'!$A$10:$Z$225,S$2,FALSE)=0,"",VLOOKUP($A55,'Pre-Assessment Estimator'!$A$10:$Z$225,S$2,FALSE))</f>
        <v/>
      </c>
      <c r="T55" s="581"/>
      <c r="U55" s="580" t="str">
        <f>IF(VLOOKUP($A55,'Pre-Assessment Estimator'!$A$10:$Z$225,U$2,FALSE)=0,"",VLOOKUP($A55,'Pre-Assessment Estimator'!$A$10:$Z$225,U$2,FALSE))</f>
        <v/>
      </c>
      <c r="V55" s="575" t="str">
        <f>VLOOKUP($A55,'Pre-Assessment Estimator'!$A$10:$Z$225,V$2,FALSE)</f>
        <v>0 c. 0 %</v>
      </c>
      <c r="W55" s="574" t="str">
        <f>VLOOKUP($A55,'Pre-Assessment Estimator'!$A$10:$Z$225,W$2,FALSE)</f>
        <v>N/A</v>
      </c>
      <c r="X55" s="577" t="str">
        <f>IF(VLOOKUP($A55,'Pre-Assessment Estimator'!$A$10:$Z$225,X$2,FALSE)=0,"",VLOOKUP($A55,'Pre-Assessment Estimator'!$A$10:$Z$225,X$2,FALSE))</f>
        <v/>
      </c>
      <c r="Y55" s="577" t="str">
        <f>IF(VLOOKUP($A55,'Pre-Assessment Estimator'!$A$10:$Z$225,Y$2,FALSE)=0,"",VLOOKUP($A55,'Pre-Assessment Estimator'!$A$10:$Z$225,Y$2,FALSE))</f>
        <v/>
      </c>
      <c r="Z55" s="370" t="str">
        <f>IF(VLOOKUP($A55,'Pre-Assessment Estimator'!$A$10:$Z$225,Z$2,FALSE)=0,"",VLOOKUP($A55,'Pre-Assessment Estimator'!$A$10:$Z$225,Z$2,FALSE))</f>
        <v/>
      </c>
      <c r="AA55" s="696">
        <v>45</v>
      </c>
      <c r="AB55" s="577"/>
      <c r="AF55" s="386">
        <f t="shared" si="0"/>
        <v>1</v>
      </c>
      <c r="AN55" s="386"/>
      <c r="AO55" s="386"/>
      <c r="AP55" s="386"/>
    </row>
    <row r="56" spans="1:42" x14ac:dyDescent="0.25">
      <c r="A56" s="823">
        <v>47</v>
      </c>
      <c r="B56" s="1236" t="s">
        <v>66</v>
      </c>
      <c r="C56" s="1236"/>
      <c r="D56" s="1259" t="str">
        <f>VLOOKUP($A56,'Pre-Assessment Estimator'!$A$10:$Z$225,D$2,FALSE)</f>
        <v>Hea 05</v>
      </c>
      <c r="E56" s="1260" t="str">
        <f>VLOOKUP($A56,'Pre-Assessment Estimator'!$A$10:$Z$225,E$2,FALSE)</f>
        <v xml:space="preserve">Pre-requisite: suitably qualified acoustician </v>
      </c>
      <c r="F56" s="574" t="str">
        <f>VLOOKUP($A56,'Pre-Assessment Estimator'!$A$10:$Z$225,F$2,FALSE)</f>
        <v>Yes/No</v>
      </c>
      <c r="G56" s="580" t="str">
        <f>IF(VLOOKUP($A56,'Pre-Assessment Estimator'!$A$10:$Z$225,G$2,FALSE)=0,"",VLOOKUP($A56,'Pre-Assessment Estimator'!$A$10:$Z$225,G$2,FALSE))</f>
        <v/>
      </c>
      <c r="H56" s="1222" t="str">
        <f>VLOOKUP($A56,'Pre-Assessment Estimator'!$A$10:$Z$225,H$2,FALSE)</f>
        <v>-</v>
      </c>
      <c r="I56" s="576" t="str">
        <f>VLOOKUP($A56,'Pre-Assessment Estimator'!$A$10:$Z$225,I$2,FALSE)</f>
        <v>N/A</v>
      </c>
      <c r="J56" s="577" t="str">
        <f>IF(VLOOKUP($A56,'Pre-Assessment Estimator'!$A$10:$Z$225,J$2,FALSE)=0,"",VLOOKUP($A56,'Pre-Assessment Estimator'!$A$10:$Z$225,J$2,FALSE))</f>
        <v/>
      </c>
      <c r="K56" s="577" t="str">
        <f>IF(VLOOKUP($A56,'Pre-Assessment Estimator'!$A$10:$Z$225,K$2,FALSE)=0,"",VLOOKUP($A56,'Pre-Assessment Estimator'!$A$10:$Z$225,K$2,FALSE))</f>
        <v/>
      </c>
      <c r="L56" s="578" t="str">
        <f>IF(VLOOKUP($A56,'Pre-Assessment Estimator'!$A$10:$Z$225,L$2,FALSE)=0,"",VLOOKUP($A56,'Pre-Assessment Estimator'!$A$10:$Z$225,L$2,FALSE))</f>
        <v/>
      </c>
      <c r="M56" s="579"/>
      <c r="N56" s="580" t="str">
        <f>IF(VLOOKUP($A56,'Pre-Assessment Estimator'!$A$10:$Z$225,N$2,FALSE)=0,"",VLOOKUP($A56,'Pre-Assessment Estimator'!$A$10:$Z$225,N$2,FALSE))</f>
        <v/>
      </c>
      <c r="O56" s="575" t="str">
        <f>VLOOKUP($A56,'Pre-Assessment Estimator'!$A$10:$Z$225,O$2,FALSE)</f>
        <v>-</v>
      </c>
      <c r="P56" s="574" t="str">
        <f>VLOOKUP($A56,'Pre-Assessment Estimator'!$A$10:$Z$225,P$2,FALSE)</f>
        <v>N/A</v>
      </c>
      <c r="Q56" s="577" t="str">
        <f>IF(VLOOKUP($A56,'Pre-Assessment Estimator'!$A$10:$Z$225,Q$2,FALSE)=0,"",VLOOKUP($A56,'Pre-Assessment Estimator'!$A$10:$Z$225,Q$2,FALSE))</f>
        <v/>
      </c>
      <c r="R56" s="577" t="str">
        <f>IF(VLOOKUP($A56,'Pre-Assessment Estimator'!$A$10:$Z$225,R$2,FALSE)=0,"",VLOOKUP($A56,'Pre-Assessment Estimator'!$A$10:$Z$225,R$2,FALSE))</f>
        <v/>
      </c>
      <c r="S56" s="578" t="str">
        <f>IF(VLOOKUP($A56,'Pre-Assessment Estimator'!$A$10:$Z$225,S$2,FALSE)=0,"",VLOOKUP($A56,'Pre-Assessment Estimator'!$A$10:$Z$225,S$2,FALSE))</f>
        <v/>
      </c>
      <c r="T56" s="581"/>
      <c r="U56" s="580" t="str">
        <f>IF(VLOOKUP($A56,'Pre-Assessment Estimator'!$A$10:$Z$225,U$2,FALSE)=0,"",VLOOKUP($A56,'Pre-Assessment Estimator'!$A$10:$Z$225,U$2,FALSE))</f>
        <v/>
      </c>
      <c r="V56" s="575" t="str">
        <f>VLOOKUP($A56,'Pre-Assessment Estimator'!$A$10:$Z$225,V$2,FALSE)</f>
        <v>-</v>
      </c>
      <c r="W56" s="574" t="str">
        <f>VLOOKUP($A56,'Pre-Assessment Estimator'!$A$10:$Z$225,W$2,FALSE)</f>
        <v>N/A</v>
      </c>
      <c r="X56" s="577" t="str">
        <f>IF(VLOOKUP($A56,'Pre-Assessment Estimator'!$A$10:$Z$225,X$2,FALSE)=0,"",VLOOKUP($A56,'Pre-Assessment Estimator'!$A$10:$Z$225,X$2,FALSE))</f>
        <v/>
      </c>
      <c r="Y56" s="577" t="str">
        <f>IF(VLOOKUP($A56,'Pre-Assessment Estimator'!$A$10:$Z$225,Y$2,FALSE)=0,"",VLOOKUP($A56,'Pre-Assessment Estimator'!$A$10:$Z$225,Y$2,FALSE))</f>
        <v/>
      </c>
      <c r="Z56" s="370" t="str">
        <f>IF(VLOOKUP($A56,'Pre-Assessment Estimator'!$A$10:$Z$225,Z$2,FALSE)=0,"",VLOOKUP($A56,'Pre-Assessment Estimator'!$A$10:$Z$225,Z$2,FALSE))</f>
        <v/>
      </c>
      <c r="AA56" s="696">
        <v>46</v>
      </c>
      <c r="AB56" s="577"/>
      <c r="AF56" s="386">
        <f t="shared" si="0"/>
        <v>1</v>
      </c>
      <c r="AN56" s="386"/>
      <c r="AO56" s="386"/>
      <c r="AP56" s="386"/>
    </row>
    <row r="57" spans="1:42" x14ac:dyDescent="0.25">
      <c r="A57" s="823">
        <v>48</v>
      </c>
      <c r="B57" s="1236" t="s">
        <v>66</v>
      </c>
      <c r="C57" s="1236"/>
      <c r="D57" s="1259" t="str">
        <f>VLOOKUP($A57,'Pre-Assessment Estimator'!$A$10:$Z$225,D$2,FALSE)</f>
        <v>Hea 05</v>
      </c>
      <c r="E57" s="1260" t="str">
        <f>VLOOKUP($A57,'Pre-Assessment Estimator'!$A$10:$Z$225,E$2,FALSE)</f>
        <v xml:space="preserve">Sound class requirements </v>
      </c>
      <c r="F57" s="574">
        <f>VLOOKUP($A57,'Pre-Assessment Estimator'!$A$10:$Z$225,F$2,FALSE)</f>
        <v>3</v>
      </c>
      <c r="G57" s="580" t="str">
        <f>IF(VLOOKUP($A57,'Pre-Assessment Estimator'!$A$10:$Z$225,G$2,FALSE)=0,"",VLOOKUP($A57,'Pre-Assessment Estimator'!$A$10:$Z$225,G$2,FALSE))</f>
        <v/>
      </c>
      <c r="H57" s="1222">
        <f>VLOOKUP($A57,'Pre-Assessment Estimator'!$A$10:$Z$225,H$2,FALSE)</f>
        <v>0</v>
      </c>
      <c r="I57" s="576" t="str">
        <f>VLOOKUP($A57,'Pre-Assessment Estimator'!$A$10:$Z$225,I$2,FALSE)</f>
        <v>N/A</v>
      </c>
      <c r="J57" s="577" t="str">
        <f>IF(VLOOKUP($A57,'Pre-Assessment Estimator'!$A$10:$Z$225,J$2,FALSE)=0,"",VLOOKUP($A57,'Pre-Assessment Estimator'!$A$10:$Z$225,J$2,FALSE))</f>
        <v/>
      </c>
      <c r="K57" s="577" t="str">
        <f>IF(VLOOKUP($A57,'Pre-Assessment Estimator'!$A$10:$Z$225,K$2,FALSE)=0,"",VLOOKUP($A57,'Pre-Assessment Estimator'!$A$10:$Z$225,K$2,FALSE))</f>
        <v/>
      </c>
      <c r="L57" s="578" t="str">
        <f>IF(VLOOKUP($A57,'Pre-Assessment Estimator'!$A$10:$Z$225,L$2,FALSE)=0,"",VLOOKUP($A57,'Pre-Assessment Estimator'!$A$10:$Z$225,L$2,FALSE))</f>
        <v/>
      </c>
      <c r="M57" s="579"/>
      <c r="N57" s="580" t="str">
        <f>IF(VLOOKUP($A57,'Pre-Assessment Estimator'!$A$10:$Z$225,N$2,FALSE)=0,"",VLOOKUP($A57,'Pre-Assessment Estimator'!$A$10:$Z$225,N$2,FALSE))</f>
        <v/>
      </c>
      <c r="O57" s="575">
        <f>VLOOKUP($A57,'Pre-Assessment Estimator'!$A$10:$Z$225,O$2,FALSE)</f>
        <v>0</v>
      </c>
      <c r="P57" s="574" t="str">
        <f>VLOOKUP($A57,'Pre-Assessment Estimator'!$A$10:$Z$225,P$2,FALSE)</f>
        <v>N/A</v>
      </c>
      <c r="Q57" s="577" t="str">
        <f>IF(VLOOKUP($A57,'Pre-Assessment Estimator'!$A$10:$Z$225,Q$2,FALSE)=0,"",VLOOKUP($A57,'Pre-Assessment Estimator'!$A$10:$Z$225,Q$2,FALSE))</f>
        <v/>
      </c>
      <c r="R57" s="577" t="str">
        <f>IF(VLOOKUP($A57,'Pre-Assessment Estimator'!$A$10:$Z$225,R$2,FALSE)=0,"",VLOOKUP($A57,'Pre-Assessment Estimator'!$A$10:$Z$225,R$2,FALSE))</f>
        <v/>
      </c>
      <c r="S57" s="578" t="str">
        <f>IF(VLOOKUP($A57,'Pre-Assessment Estimator'!$A$10:$Z$225,S$2,FALSE)=0,"",VLOOKUP($A57,'Pre-Assessment Estimator'!$A$10:$Z$225,S$2,FALSE))</f>
        <v/>
      </c>
      <c r="T57" s="581"/>
      <c r="U57" s="580" t="str">
        <f>IF(VLOOKUP($A57,'Pre-Assessment Estimator'!$A$10:$Z$225,U$2,FALSE)=0,"",VLOOKUP($A57,'Pre-Assessment Estimator'!$A$10:$Z$225,U$2,FALSE))</f>
        <v/>
      </c>
      <c r="V57" s="575">
        <f>VLOOKUP($A57,'Pre-Assessment Estimator'!$A$10:$Z$225,V$2,FALSE)</f>
        <v>0</v>
      </c>
      <c r="W57" s="574" t="str">
        <f>VLOOKUP($A57,'Pre-Assessment Estimator'!$A$10:$Z$225,W$2,FALSE)</f>
        <v>N/A</v>
      </c>
      <c r="X57" s="577" t="str">
        <f>IF(VLOOKUP($A57,'Pre-Assessment Estimator'!$A$10:$Z$225,X$2,FALSE)=0,"",VLOOKUP($A57,'Pre-Assessment Estimator'!$A$10:$Z$225,X$2,FALSE))</f>
        <v/>
      </c>
      <c r="Y57" s="577" t="str">
        <f>IF(VLOOKUP($A57,'Pre-Assessment Estimator'!$A$10:$Z$225,Y$2,FALSE)=0,"",VLOOKUP($A57,'Pre-Assessment Estimator'!$A$10:$Z$225,Y$2,FALSE))</f>
        <v/>
      </c>
      <c r="Z57" s="370" t="str">
        <f>IF(VLOOKUP($A57,'Pre-Assessment Estimator'!$A$10:$Z$225,Z$2,FALSE)=0,"",VLOOKUP($A57,'Pre-Assessment Estimator'!$A$10:$Z$225,Z$2,FALSE))</f>
        <v/>
      </c>
      <c r="AA57" s="696">
        <v>47</v>
      </c>
      <c r="AB57" s="577"/>
      <c r="AF57" s="386">
        <f t="shared" si="0"/>
        <v>1</v>
      </c>
      <c r="AN57" s="386"/>
      <c r="AO57" s="386"/>
      <c r="AP57" s="386"/>
    </row>
    <row r="58" spans="1:42" x14ac:dyDescent="0.25">
      <c r="A58" s="823">
        <v>49</v>
      </c>
      <c r="B58" s="1236" t="s">
        <v>66</v>
      </c>
      <c r="C58" s="1236"/>
      <c r="D58" s="1258" t="str">
        <f>VLOOKUP($A58,'Pre-Assessment Estimator'!$A$10:$Z$225,D$2,FALSE)</f>
        <v>Hea 06</v>
      </c>
      <c r="E58" s="1258" t="str">
        <f>VLOOKUP($A58,'Pre-Assessment Estimator'!$A$10:$Z$225,E$2,FALSE)</f>
        <v>Hea 06 Safe access</v>
      </c>
      <c r="F58" s="574">
        <f>VLOOKUP($A58,'Pre-Assessment Estimator'!$A$10:$Z$225,F$2,FALSE)</f>
        <v>2</v>
      </c>
      <c r="G58" s="580" t="str">
        <f>IF(VLOOKUP($A58,'Pre-Assessment Estimator'!$A$10:$Z$225,G$2,FALSE)=0,"",VLOOKUP($A58,'Pre-Assessment Estimator'!$A$10:$Z$225,G$2,FALSE))</f>
        <v/>
      </c>
      <c r="H58" s="1222" t="str">
        <f>VLOOKUP($A58,'Pre-Assessment Estimator'!$A$10:$Z$225,H$2,FALSE)</f>
        <v>0 c. 0 %</v>
      </c>
      <c r="I58" s="576" t="str">
        <f>VLOOKUP($A58,'Pre-Assessment Estimator'!$A$10:$Z$225,I$2,FALSE)</f>
        <v>N/A</v>
      </c>
      <c r="J58" s="577" t="str">
        <f>IF(VLOOKUP($A58,'Pre-Assessment Estimator'!$A$10:$Z$225,J$2,FALSE)=0,"",VLOOKUP($A58,'Pre-Assessment Estimator'!$A$10:$Z$225,J$2,FALSE))</f>
        <v/>
      </c>
      <c r="K58" s="577" t="str">
        <f>IF(VLOOKUP($A58,'Pre-Assessment Estimator'!$A$10:$Z$225,K$2,FALSE)=0,"",VLOOKUP($A58,'Pre-Assessment Estimator'!$A$10:$Z$225,K$2,FALSE))</f>
        <v/>
      </c>
      <c r="L58" s="578" t="str">
        <f>IF(VLOOKUP($A58,'Pre-Assessment Estimator'!$A$10:$Z$225,L$2,FALSE)=0,"",VLOOKUP($A58,'Pre-Assessment Estimator'!$A$10:$Z$225,L$2,FALSE))</f>
        <v/>
      </c>
      <c r="M58" s="579"/>
      <c r="N58" s="580" t="str">
        <f>IF(VLOOKUP($A58,'Pre-Assessment Estimator'!$A$10:$Z$225,N$2,FALSE)=0,"",VLOOKUP($A58,'Pre-Assessment Estimator'!$A$10:$Z$225,N$2,FALSE))</f>
        <v/>
      </c>
      <c r="O58" s="575" t="str">
        <f>VLOOKUP($A58,'Pre-Assessment Estimator'!$A$10:$Z$225,O$2,FALSE)</f>
        <v>0 c. 0 %</v>
      </c>
      <c r="P58" s="574" t="str">
        <f>VLOOKUP($A58,'Pre-Assessment Estimator'!$A$10:$Z$225,P$2,FALSE)</f>
        <v>N/A</v>
      </c>
      <c r="Q58" s="577" t="str">
        <f>IF(VLOOKUP($A58,'Pre-Assessment Estimator'!$A$10:$Z$225,Q$2,FALSE)=0,"",VLOOKUP($A58,'Pre-Assessment Estimator'!$A$10:$Z$225,Q$2,FALSE))</f>
        <v/>
      </c>
      <c r="R58" s="577" t="str">
        <f>IF(VLOOKUP($A58,'Pre-Assessment Estimator'!$A$10:$Z$225,R$2,FALSE)=0,"",VLOOKUP($A58,'Pre-Assessment Estimator'!$A$10:$Z$225,R$2,FALSE))</f>
        <v/>
      </c>
      <c r="S58" s="578" t="str">
        <f>IF(VLOOKUP($A58,'Pre-Assessment Estimator'!$A$10:$Z$225,S$2,FALSE)=0,"",VLOOKUP($A58,'Pre-Assessment Estimator'!$A$10:$Z$225,S$2,FALSE))</f>
        <v/>
      </c>
      <c r="T58" s="581"/>
      <c r="U58" s="580" t="str">
        <f>IF(VLOOKUP($A58,'Pre-Assessment Estimator'!$A$10:$Z$225,U$2,FALSE)=0,"",VLOOKUP($A58,'Pre-Assessment Estimator'!$A$10:$Z$225,U$2,FALSE))</f>
        <v/>
      </c>
      <c r="V58" s="575" t="str">
        <f>VLOOKUP($A58,'Pre-Assessment Estimator'!$A$10:$Z$225,V$2,FALSE)</f>
        <v>0 c. 0 %</v>
      </c>
      <c r="W58" s="574" t="str">
        <f>VLOOKUP($A58,'Pre-Assessment Estimator'!$A$10:$Z$225,W$2,FALSE)</f>
        <v>N/A</v>
      </c>
      <c r="X58" s="577" t="str">
        <f>IF(VLOOKUP($A58,'Pre-Assessment Estimator'!$A$10:$Z$225,X$2,FALSE)=0,"",VLOOKUP($A58,'Pre-Assessment Estimator'!$A$10:$Z$225,X$2,FALSE))</f>
        <v/>
      </c>
      <c r="Y58" s="577" t="str">
        <f>IF(VLOOKUP($A58,'Pre-Assessment Estimator'!$A$10:$Z$225,Y$2,FALSE)=0,"",VLOOKUP($A58,'Pre-Assessment Estimator'!$A$10:$Z$225,Y$2,FALSE))</f>
        <v/>
      </c>
      <c r="Z58" s="370" t="str">
        <f>IF(VLOOKUP($A58,'Pre-Assessment Estimator'!$A$10:$Z$225,Z$2,FALSE)=0,"",VLOOKUP($A58,'Pre-Assessment Estimator'!$A$10:$Z$225,Z$2,FALSE))</f>
        <v/>
      </c>
      <c r="AA58" s="696">
        <v>48</v>
      </c>
      <c r="AB58" s="577"/>
      <c r="AF58" s="386">
        <f t="shared" si="0"/>
        <v>1</v>
      </c>
      <c r="AN58" s="386"/>
      <c r="AO58" s="386"/>
      <c r="AP58" s="386"/>
    </row>
    <row r="59" spans="1:42" x14ac:dyDescent="0.25">
      <c r="A59" s="823">
        <v>50</v>
      </c>
      <c r="B59" s="1236" t="s">
        <v>66</v>
      </c>
      <c r="C59" s="1236"/>
      <c r="D59" s="1259" t="str">
        <f>VLOOKUP($A59,'Pre-Assessment Estimator'!$A$10:$Z$225,D$2,FALSE)</f>
        <v>Hea 06</v>
      </c>
      <c r="E59" s="1260" t="str">
        <f>VLOOKUP($A59,'Pre-Assessment Estimator'!$A$10:$Z$225,E$2,FALSE)</f>
        <v xml:space="preserve">Inclusive design </v>
      </c>
      <c r="F59" s="574">
        <f>VLOOKUP($A59,'Pre-Assessment Estimator'!$A$10:$Z$225,F$2,FALSE)</f>
        <v>1</v>
      </c>
      <c r="G59" s="580" t="str">
        <f>IF(VLOOKUP($A59,'Pre-Assessment Estimator'!$A$10:$Z$225,G$2,FALSE)=0,"",VLOOKUP($A59,'Pre-Assessment Estimator'!$A$10:$Z$225,G$2,FALSE))</f>
        <v/>
      </c>
      <c r="H59" s="1222">
        <f>VLOOKUP($A59,'Pre-Assessment Estimator'!$A$10:$Z$225,H$2,FALSE)</f>
        <v>0</v>
      </c>
      <c r="I59" s="576" t="str">
        <f>VLOOKUP($A59,'Pre-Assessment Estimator'!$A$10:$Z$225,I$2,FALSE)</f>
        <v>N/A</v>
      </c>
      <c r="J59" s="577" t="str">
        <f>IF(VLOOKUP($A59,'Pre-Assessment Estimator'!$A$10:$Z$225,J$2,FALSE)=0,"",VLOOKUP($A59,'Pre-Assessment Estimator'!$A$10:$Z$225,J$2,FALSE))</f>
        <v/>
      </c>
      <c r="K59" s="577" t="str">
        <f>IF(VLOOKUP($A59,'Pre-Assessment Estimator'!$A$10:$Z$225,K$2,FALSE)=0,"",VLOOKUP($A59,'Pre-Assessment Estimator'!$A$10:$Z$225,K$2,FALSE))</f>
        <v/>
      </c>
      <c r="L59" s="578" t="str">
        <f>IF(VLOOKUP($A59,'Pre-Assessment Estimator'!$A$10:$Z$225,L$2,FALSE)=0,"",VLOOKUP($A59,'Pre-Assessment Estimator'!$A$10:$Z$225,L$2,FALSE))</f>
        <v/>
      </c>
      <c r="M59" s="579"/>
      <c r="N59" s="580" t="str">
        <f>IF(VLOOKUP($A59,'Pre-Assessment Estimator'!$A$10:$Z$225,N$2,FALSE)=0,"",VLOOKUP($A59,'Pre-Assessment Estimator'!$A$10:$Z$225,N$2,FALSE))</f>
        <v/>
      </c>
      <c r="O59" s="575">
        <f>VLOOKUP($A59,'Pre-Assessment Estimator'!$A$10:$Z$225,O$2,FALSE)</f>
        <v>0</v>
      </c>
      <c r="P59" s="574" t="str">
        <f>VLOOKUP($A59,'Pre-Assessment Estimator'!$A$10:$Z$225,P$2,FALSE)</f>
        <v>N/A</v>
      </c>
      <c r="Q59" s="577" t="str">
        <f>IF(VLOOKUP($A59,'Pre-Assessment Estimator'!$A$10:$Z$225,Q$2,FALSE)=0,"",VLOOKUP($A59,'Pre-Assessment Estimator'!$A$10:$Z$225,Q$2,FALSE))</f>
        <v/>
      </c>
      <c r="R59" s="577" t="str">
        <f>IF(VLOOKUP($A59,'Pre-Assessment Estimator'!$A$10:$Z$225,R$2,FALSE)=0,"",VLOOKUP($A59,'Pre-Assessment Estimator'!$A$10:$Z$225,R$2,FALSE))</f>
        <v/>
      </c>
      <c r="S59" s="578" t="str">
        <f>IF(VLOOKUP($A59,'Pre-Assessment Estimator'!$A$10:$Z$225,S$2,FALSE)=0,"",VLOOKUP($A59,'Pre-Assessment Estimator'!$A$10:$Z$225,S$2,FALSE))</f>
        <v/>
      </c>
      <c r="T59" s="581"/>
      <c r="U59" s="580" t="str">
        <f>IF(VLOOKUP($A59,'Pre-Assessment Estimator'!$A$10:$Z$225,U$2,FALSE)=0,"",VLOOKUP($A59,'Pre-Assessment Estimator'!$A$10:$Z$225,U$2,FALSE))</f>
        <v/>
      </c>
      <c r="V59" s="575">
        <f>VLOOKUP($A59,'Pre-Assessment Estimator'!$A$10:$Z$225,V$2,FALSE)</f>
        <v>0</v>
      </c>
      <c r="W59" s="574" t="str">
        <f>VLOOKUP($A59,'Pre-Assessment Estimator'!$A$10:$Z$225,W$2,FALSE)</f>
        <v>N/A</v>
      </c>
      <c r="X59" s="577" t="str">
        <f>IF(VLOOKUP($A59,'Pre-Assessment Estimator'!$A$10:$Z$225,X$2,FALSE)=0,"",VLOOKUP($A59,'Pre-Assessment Estimator'!$A$10:$Z$225,X$2,FALSE))</f>
        <v/>
      </c>
      <c r="Y59" s="577" t="str">
        <f>IF(VLOOKUP($A59,'Pre-Assessment Estimator'!$A$10:$Z$225,Y$2,FALSE)=0,"",VLOOKUP($A59,'Pre-Assessment Estimator'!$A$10:$Z$225,Y$2,FALSE))</f>
        <v/>
      </c>
      <c r="Z59" s="370" t="str">
        <f>IF(VLOOKUP($A59,'Pre-Assessment Estimator'!$A$10:$Z$225,Z$2,FALSE)=0,"",VLOOKUP($A59,'Pre-Assessment Estimator'!$A$10:$Z$225,Z$2,FALSE))</f>
        <v/>
      </c>
      <c r="AA59" s="696">
        <v>49</v>
      </c>
      <c r="AB59" s="577"/>
      <c r="AF59" s="386">
        <f t="shared" si="0"/>
        <v>1</v>
      </c>
      <c r="AN59" s="386"/>
      <c r="AO59" s="386"/>
      <c r="AP59" s="386"/>
    </row>
    <row r="60" spans="1:42" x14ac:dyDescent="0.25">
      <c r="A60" s="823">
        <v>51</v>
      </c>
      <c r="B60" s="1236" t="s">
        <v>66</v>
      </c>
      <c r="C60" s="1236"/>
      <c r="D60" s="1259" t="str">
        <f>VLOOKUP($A60,'Pre-Assessment Estimator'!$A$10:$Z$225,D$2,FALSE)</f>
        <v>Hea 06</v>
      </c>
      <c r="E60" s="1260" t="str">
        <f>VLOOKUP($A60,'Pre-Assessment Estimator'!$A$10:$Z$225,E$2,FALSE)</f>
        <v xml:space="preserve">Biofilik design </v>
      </c>
      <c r="F60" s="574">
        <f>VLOOKUP($A60,'Pre-Assessment Estimator'!$A$10:$Z$225,F$2,FALSE)</f>
        <v>1</v>
      </c>
      <c r="G60" s="580" t="str">
        <f>IF(VLOOKUP($A60,'Pre-Assessment Estimator'!$A$10:$Z$225,G$2,FALSE)=0,"",VLOOKUP($A60,'Pre-Assessment Estimator'!$A$10:$Z$225,G$2,FALSE))</f>
        <v/>
      </c>
      <c r="H60" s="1222">
        <f>VLOOKUP($A60,'Pre-Assessment Estimator'!$A$10:$Z$225,H$2,FALSE)</f>
        <v>0</v>
      </c>
      <c r="I60" s="576" t="str">
        <f>VLOOKUP($A60,'Pre-Assessment Estimator'!$A$10:$Z$225,I$2,FALSE)</f>
        <v>N/A</v>
      </c>
      <c r="J60" s="577" t="str">
        <f>IF(VLOOKUP($A60,'Pre-Assessment Estimator'!$A$10:$Z$225,J$2,FALSE)=0,"",VLOOKUP($A60,'Pre-Assessment Estimator'!$A$10:$Z$225,J$2,FALSE))</f>
        <v/>
      </c>
      <c r="K60" s="577" t="str">
        <f>IF(VLOOKUP($A60,'Pre-Assessment Estimator'!$A$10:$Z$225,K$2,FALSE)=0,"",VLOOKUP($A60,'Pre-Assessment Estimator'!$A$10:$Z$225,K$2,FALSE))</f>
        <v/>
      </c>
      <c r="L60" s="578" t="str">
        <f>IF(VLOOKUP($A60,'Pre-Assessment Estimator'!$A$10:$Z$225,L$2,FALSE)=0,"",VLOOKUP($A60,'Pre-Assessment Estimator'!$A$10:$Z$225,L$2,FALSE))</f>
        <v/>
      </c>
      <c r="M60" s="579"/>
      <c r="N60" s="580" t="str">
        <f>IF(VLOOKUP($A60,'Pre-Assessment Estimator'!$A$10:$Z$225,N$2,FALSE)=0,"",VLOOKUP($A60,'Pre-Assessment Estimator'!$A$10:$Z$225,N$2,FALSE))</f>
        <v/>
      </c>
      <c r="O60" s="575">
        <f>VLOOKUP($A60,'Pre-Assessment Estimator'!$A$10:$Z$225,O$2,FALSE)</f>
        <v>0</v>
      </c>
      <c r="P60" s="574" t="str">
        <f>VLOOKUP($A60,'Pre-Assessment Estimator'!$A$10:$Z$225,P$2,FALSE)</f>
        <v>N/A</v>
      </c>
      <c r="Q60" s="577" t="str">
        <f>IF(VLOOKUP($A60,'Pre-Assessment Estimator'!$A$10:$Z$225,Q$2,FALSE)=0,"",VLOOKUP($A60,'Pre-Assessment Estimator'!$A$10:$Z$225,Q$2,FALSE))</f>
        <v/>
      </c>
      <c r="R60" s="577" t="str">
        <f>IF(VLOOKUP($A60,'Pre-Assessment Estimator'!$A$10:$Z$225,R$2,FALSE)=0,"",VLOOKUP($A60,'Pre-Assessment Estimator'!$A$10:$Z$225,R$2,FALSE))</f>
        <v/>
      </c>
      <c r="S60" s="578" t="str">
        <f>IF(VLOOKUP($A60,'Pre-Assessment Estimator'!$A$10:$Z$225,S$2,FALSE)=0,"",VLOOKUP($A60,'Pre-Assessment Estimator'!$A$10:$Z$225,S$2,FALSE))</f>
        <v/>
      </c>
      <c r="T60" s="581"/>
      <c r="U60" s="580" t="str">
        <f>IF(VLOOKUP($A60,'Pre-Assessment Estimator'!$A$10:$Z$225,U$2,FALSE)=0,"",VLOOKUP($A60,'Pre-Assessment Estimator'!$A$10:$Z$225,U$2,FALSE))</f>
        <v/>
      </c>
      <c r="V60" s="575">
        <f>VLOOKUP($A60,'Pre-Assessment Estimator'!$A$10:$Z$225,V$2,FALSE)</f>
        <v>0</v>
      </c>
      <c r="W60" s="574" t="str">
        <f>VLOOKUP($A60,'Pre-Assessment Estimator'!$A$10:$Z$225,W$2,FALSE)</f>
        <v>N/A</v>
      </c>
      <c r="X60" s="577" t="str">
        <f>IF(VLOOKUP($A60,'Pre-Assessment Estimator'!$A$10:$Z$225,X$2,FALSE)=0,"",VLOOKUP($A60,'Pre-Assessment Estimator'!$A$10:$Z$225,X$2,FALSE))</f>
        <v/>
      </c>
      <c r="Y60" s="577" t="str">
        <f>IF(VLOOKUP($A60,'Pre-Assessment Estimator'!$A$10:$Z$225,Y$2,FALSE)=0,"",VLOOKUP($A60,'Pre-Assessment Estimator'!$A$10:$Z$225,Y$2,FALSE))</f>
        <v/>
      </c>
      <c r="Z60" s="370" t="str">
        <f>IF(VLOOKUP($A60,'Pre-Assessment Estimator'!$A$10:$Z$225,Z$2,FALSE)=0,"",VLOOKUP($A60,'Pre-Assessment Estimator'!$A$10:$Z$225,Z$2,FALSE))</f>
        <v/>
      </c>
      <c r="AA60" s="696">
        <v>50</v>
      </c>
      <c r="AB60" s="577"/>
      <c r="AF60" s="386">
        <f t="shared" si="0"/>
        <v>1</v>
      </c>
      <c r="AN60" s="386"/>
      <c r="AO60" s="386"/>
      <c r="AP60" s="386"/>
    </row>
    <row r="61" spans="1:42" x14ac:dyDescent="0.25">
      <c r="A61" s="823">
        <v>52</v>
      </c>
      <c r="B61" s="1236" t="s">
        <v>66</v>
      </c>
      <c r="C61" s="1236"/>
      <c r="D61" s="1258" t="str">
        <f>VLOOKUP($A61,'Pre-Assessment Estimator'!$A$10:$Z$225,D$2,FALSE)</f>
        <v>Hea 08</v>
      </c>
      <c r="E61" s="1258" t="str">
        <f>VLOOKUP($A61,'Pre-Assessment Estimator'!$A$10:$Z$225,E$2,FALSE)</f>
        <v>Hea 08 Private space</v>
      </c>
      <c r="F61" s="574">
        <f>VLOOKUP($A61,'Pre-Assessment Estimator'!$A$10:$Z$225,F$2,FALSE)</f>
        <v>0</v>
      </c>
      <c r="G61" s="580" t="str">
        <f>IF(VLOOKUP($A61,'Pre-Assessment Estimator'!$A$10:$Z$225,G$2,FALSE)=0,"",VLOOKUP($A61,'Pre-Assessment Estimator'!$A$10:$Z$225,G$2,FALSE))</f>
        <v/>
      </c>
      <c r="H61" s="1222" t="str">
        <f>VLOOKUP($A61,'Pre-Assessment Estimator'!$A$10:$Z$225,H$2,FALSE)</f>
        <v>0 c. 0 %</v>
      </c>
      <c r="I61" s="576" t="str">
        <f>VLOOKUP($A61,'Pre-Assessment Estimator'!$A$10:$Z$225,I$2,FALSE)</f>
        <v>N/A</v>
      </c>
      <c r="J61" s="577" t="str">
        <f>IF(VLOOKUP($A61,'Pre-Assessment Estimator'!$A$10:$Z$225,J$2,FALSE)=0,"",VLOOKUP($A61,'Pre-Assessment Estimator'!$A$10:$Z$225,J$2,FALSE))</f>
        <v/>
      </c>
      <c r="K61" s="577" t="str">
        <f>IF(VLOOKUP($A61,'Pre-Assessment Estimator'!$A$10:$Z$225,K$2,FALSE)=0,"",VLOOKUP($A61,'Pre-Assessment Estimator'!$A$10:$Z$225,K$2,FALSE))</f>
        <v/>
      </c>
      <c r="L61" s="578" t="str">
        <f>IF(VLOOKUP($A61,'Pre-Assessment Estimator'!$A$10:$Z$225,L$2,FALSE)=0,"",VLOOKUP($A61,'Pre-Assessment Estimator'!$A$10:$Z$225,L$2,FALSE))</f>
        <v/>
      </c>
      <c r="M61" s="579"/>
      <c r="N61" s="580" t="str">
        <f>IF(VLOOKUP($A61,'Pre-Assessment Estimator'!$A$10:$Z$225,N$2,FALSE)=0,"",VLOOKUP($A61,'Pre-Assessment Estimator'!$A$10:$Z$225,N$2,FALSE))</f>
        <v/>
      </c>
      <c r="O61" s="575" t="str">
        <f>VLOOKUP($A61,'Pre-Assessment Estimator'!$A$10:$Z$225,O$2,FALSE)</f>
        <v>0 c. 0 %</v>
      </c>
      <c r="P61" s="574" t="str">
        <f>VLOOKUP($A61,'Pre-Assessment Estimator'!$A$10:$Z$225,P$2,FALSE)</f>
        <v>N/A</v>
      </c>
      <c r="Q61" s="577" t="str">
        <f>IF(VLOOKUP($A61,'Pre-Assessment Estimator'!$A$10:$Z$225,Q$2,FALSE)=0,"",VLOOKUP($A61,'Pre-Assessment Estimator'!$A$10:$Z$225,Q$2,FALSE))</f>
        <v/>
      </c>
      <c r="R61" s="577" t="str">
        <f>IF(VLOOKUP($A61,'Pre-Assessment Estimator'!$A$10:$Z$225,R$2,FALSE)=0,"",VLOOKUP($A61,'Pre-Assessment Estimator'!$A$10:$Z$225,R$2,FALSE))</f>
        <v/>
      </c>
      <c r="S61" s="578" t="str">
        <f>IF(VLOOKUP($A61,'Pre-Assessment Estimator'!$A$10:$Z$225,S$2,FALSE)=0,"",VLOOKUP($A61,'Pre-Assessment Estimator'!$A$10:$Z$225,S$2,FALSE))</f>
        <v/>
      </c>
      <c r="T61" s="581"/>
      <c r="U61" s="580" t="str">
        <f>IF(VLOOKUP($A61,'Pre-Assessment Estimator'!$A$10:$Z$225,U$2,FALSE)=0,"",VLOOKUP($A61,'Pre-Assessment Estimator'!$A$10:$Z$225,U$2,FALSE))</f>
        <v/>
      </c>
      <c r="V61" s="575" t="str">
        <f>VLOOKUP($A61,'Pre-Assessment Estimator'!$A$10:$Z$225,V$2,FALSE)</f>
        <v>0 c. 0 %</v>
      </c>
      <c r="W61" s="574" t="str">
        <f>VLOOKUP($A61,'Pre-Assessment Estimator'!$A$10:$Z$225,W$2,FALSE)</f>
        <v>N/A</v>
      </c>
      <c r="X61" s="577" t="str">
        <f>IF(VLOOKUP($A61,'Pre-Assessment Estimator'!$A$10:$Z$225,X$2,FALSE)=0,"",VLOOKUP($A61,'Pre-Assessment Estimator'!$A$10:$Z$225,X$2,FALSE))</f>
        <v/>
      </c>
      <c r="Y61" s="577" t="str">
        <f>IF(VLOOKUP($A61,'Pre-Assessment Estimator'!$A$10:$Z$225,Y$2,FALSE)=0,"",VLOOKUP($A61,'Pre-Assessment Estimator'!$A$10:$Z$225,Y$2,FALSE))</f>
        <v/>
      </c>
      <c r="Z61" s="370" t="str">
        <f>IF(VLOOKUP($A61,'Pre-Assessment Estimator'!$A$10:$Z$225,Z$2,FALSE)=0,"",VLOOKUP($A61,'Pre-Assessment Estimator'!$A$10:$Z$225,Z$2,FALSE))</f>
        <v/>
      </c>
      <c r="AA61" s="696">
        <v>51</v>
      </c>
      <c r="AB61" s="577"/>
      <c r="AF61" s="386">
        <f t="shared" si="0"/>
        <v>2</v>
      </c>
      <c r="AN61" s="386"/>
      <c r="AO61" s="386"/>
      <c r="AP61" s="386"/>
    </row>
    <row r="62" spans="1:42" x14ac:dyDescent="0.25">
      <c r="A62" s="823">
        <v>53</v>
      </c>
      <c r="B62" s="1236" t="s">
        <v>66</v>
      </c>
      <c r="C62" s="1236"/>
      <c r="D62" s="1259" t="str">
        <f>VLOOKUP($A62,'Pre-Assessment Estimator'!$A$10:$Z$225,D$2,FALSE)</f>
        <v>Hea 08</v>
      </c>
      <c r="E62" s="1260" t="str">
        <f>VLOOKUP($A62,'Pre-Assessment Estimator'!$A$10:$Z$225,E$2,FALSE)</f>
        <v xml:space="preserve">Private outdoor spaces </v>
      </c>
      <c r="F62" s="574">
        <f>VLOOKUP($A62,'Pre-Assessment Estimator'!$A$10:$Z$225,F$2,FALSE)</f>
        <v>0</v>
      </c>
      <c r="G62" s="580" t="str">
        <f>IF(VLOOKUP($A62,'Pre-Assessment Estimator'!$A$10:$Z$225,G$2,FALSE)=0,"",VLOOKUP($A62,'Pre-Assessment Estimator'!$A$10:$Z$225,G$2,FALSE))</f>
        <v/>
      </c>
      <c r="H62" s="1222">
        <f>VLOOKUP($A62,'Pre-Assessment Estimator'!$A$10:$Z$225,H$2,FALSE)</f>
        <v>0</v>
      </c>
      <c r="I62" s="576" t="str">
        <f>VLOOKUP($A62,'Pre-Assessment Estimator'!$A$10:$Z$225,I$2,FALSE)</f>
        <v>N/A</v>
      </c>
      <c r="J62" s="577" t="str">
        <f>IF(VLOOKUP($A62,'Pre-Assessment Estimator'!$A$10:$Z$225,J$2,FALSE)=0,"",VLOOKUP($A62,'Pre-Assessment Estimator'!$A$10:$Z$225,J$2,FALSE))</f>
        <v/>
      </c>
      <c r="K62" s="577" t="str">
        <f>IF(VLOOKUP($A62,'Pre-Assessment Estimator'!$A$10:$Z$225,K$2,FALSE)=0,"",VLOOKUP($A62,'Pre-Assessment Estimator'!$A$10:$Z$225,K$2,FALSE))</f>
        <v/>
      </c>
      <c r="L62" s="578" t="str">
        <f>IF(VLOOKUP($A62,'Pre-Assessment Estimator'!$A$10:$Z$225,L$2,FALSE)=0,"",VLOOKUP($A62,'Pre-Assessment Estimator'!$A$10:$Z$225,L$2,FALSE))</f>
        <v/>
      </c>
      <c r="M62" s="579"/>
      <c r="N62" s="580" t="str">
        <f>IF(VLOOKUP($A62,'Pre-Assessment Estimator'!$A$10:$Z$225,N$2,FALSE)=0,"",VLOOKUP($A62,'Pre-Assessment Estimator'!$A$10:$Z$225,N$2,FALSE))</f>
        <v/>
      </c>
      <c r="O62" s="575">
        <f>VLOOKUP($A62,'Pre-Assessment Estimator'!$A$10:$Z$225,O$2,FALSE)</f>
        <v>0</v>
      </c>
      <c r="P62" s="574" t="str">
        <f>VLOOKUP($A62,'Pre-Assessment Estimator'!$A$10:$Z$225,P$2,FALSE)</f>
        <v>N/A</v>
      </c>
      <c r="Q62" s="577" t="str">
        <f>IF(VLOOKUP($A62,'Pre-Assessment Estimator'!$A$10:$Z$225,Q$2,FALSE)=0,"",VLOOKUP($A62,'Pre-Assessment Estimator'!$A$10:$Z$225,Q$2,FALSE))</f>
        <v/>
      </c>
      <c r="R62" s="577" t="str">
        <f>IF(VLOOKUP($A62,'Pre-Assessment Estimator'!$A$10:$Z$225,R$2,FALSE)=0,"",VLOOKUP($A62,'Pre-Assessment Estimator'!$A$10:$Z$225,R$2,FALSE))</f>
        <v/>
      </c>
      <c r="S62" s="578" t="str">
        <f>IF(VLOOKUP($A62,'Pre-Assessment Estimator'!$A$10:$Z$225,S$2,FALSE)=0,"",VLOOKUP($A62,'Pre-Assessment Estimator'!$A$10:$Z$225,S$2,FALSE))</f>
        <v/>
      </c>
      <c r="T62" s="581"/>
      <c r="U62" s="580" t="str">
        <f>IF(VLOOKUP($A62,'Pre-Assessment Estimator'!$A$10:$Z$225,U$2,FALSE)=0,"",VLOOKUP($A62,'Pre-Assessment Estimator'!$A$10:$Z$225,U$2,FALSE))</f>
        <v/>
      </c>
      <c r="V62" s="575">
        <f>VLOOKUP($A62,'Pre-Assessment Estimator'!$A$10:$Z$225,V$2,FALSE)</f>
        <v>0</v>
      </c>
      <c r="W62" s="574" t="str">
        <f>VLOOKUP($A62,'Pre-Assessment Estimator'!$A$10:$Z$225,W$2,FALSE)</f>
        <v>N/A</v>
      </c>
      <c r="X62" s="577" t="str">
        <f>IF(VLOOKUP($A62,'Pre-Assessment Estimator'!$A$10:$Z$225,X$2,FALSE)=0,"",VLOOKUP($A62,'Pre-Assessment Estimator'!$A$10:$Z$225,X$2,FALSE))</f>
        <v/>
      </c>
      <c r="Y62" s="577" t="str">
        <f>IF(VLOOKUP($A62,'Pre-Assessment Estimator'!$A$10:$Z$225,Y$2,FALSE)=0,"",VLOOKUP($A62,'Pre-Assessment Estimator'!$A$10:$Z$225,Y$2,FALSE))</f>
        <v/>
      </c>
      <c r="Z62" s="370" t="str">
        <f>IF(VLOOKUP($A62,'Pre-Assessment Estimator'!$A$10:$Z$225,Z$2,FALSE)=0,"",VLOOKUP($A62,'Pre-Assessment Estimator'!$A$10:$Z$225,Z$2,FALSE))</f>
        <v/>
      </c>
      <c r="AA62" s="696">
        <v>52</v>
      </c>
      <c r="AB62" s="577"/>
      <c r="AF62" s="386">
        <f t="shared" si="0"/>
        <v>2</v>
      </c>
      <c r="AN62" s="386"/>
      <c r="AO62" s="386"/>
      <c r="AP62" s="386"/>
    </row>
    <row r="63" spans="1:42" ht="30.75" thickBot="1" x14ac:dyDescent="0.3">
      <c r="A63" s="823">
        <v>54</v>
      </c>
      <c r="B63" s="1236" t="s">
        <v>66</v>
      </c>
      <c r="C63" s="1236"/>
      <c r="D63" s="1261"/>
      <c r="E63" s="1261" t="str">
        <f>VLOOKUP($A63,'Pre-Assessment Estimator'!$A$10:$Z$225,E$2,FALSE)</f>
        <v>Total performance health &amp; wellbeing</v>
      </c>
      <c r="F63" s="582">
        <f>VLOOKUP($A63,'Pre-Assessment Estimator'!$A$10:$Z$225,F$2,FALSE)</f>
        <v>19</v>
      </c>
      <c r="G63" s="584" t="str">
        <f>IF(VLOOKUP($A63,'Pre-Assessment Estimator'!$A$10:$Z$225,G$2,FALSE)=0,"",VLOOKUP($A63,'Pre-Assessment Estimator'!$A$10:$Z$225,G$2,FALSE))</f>
        <v/>
      </c>
      <c r="H63" s="583">
        <f>VLOOKUP($A63,'Pre-Assessment Estimator'!$A$10:$Z$225,H$2,FALSE)</f>
        <v>0</v>
      </c>
      <c r="I63" s="582" t="str">
        <f>VLOOKUP($A63,'Pre-Assessment Estimator'!$A$10:$Z$225,I$2,FALSE)</f>
        <v>Credits achieved: 0</v>
      </c>
      <c r="J63" s="1204" t="str">
        <f>IF(VLOOKUP($A63,'Pre-Assessment Estimator'!$A$10:$Z$225,J$2,FALSE)=0,"",VLOOKUP($A63,'Pre-Assessment Estimator'!$A$10:$Z$225,J$2,FALSE))</f>
        <v/>
      </c>
      <c r="K63" s="1204" t="str">
        <f>IF(VLOOKUP($A63,'Pre-Assessment Estimator'!$A$10:$Z$225,K$2,FALSE)=0,"",VLOOKUP($A63,'Pre-Assessment Estimator'!$A$10:$Z$225,K$2,FALSE))</f>
        <v/>
      </c>
      <c r="L63" s="1223" t="str">
        <f>IF(VLOOKUP($A63,'Pre-Assessment Estimator'!$A$10:$Z$225,L$2,FALSE)=0,"",VLOOKUP($A63,'Pre-Assessment Estimator'!$A$10:$Z$225,L$2,FALSE))</f>
        <v/>
      </c>
      <c r="M63" s="1224"/>
      <c r="N63" s="584" t="str">
        <f>IF(VLOOKUP($A63,'Pre-Assessment Estimator'!$A$10:$Z$225,N$2,FALSE)=0,"",VLOOKUP($A63,'Pre-Assessment Estimator'!$A$10:$Z$225,N$2,FALSE))</f>
        <v/>
      </c>
      <c r="O63" s="583">
        <f>VLOOKUP($A63,'Pre-Assessment Estimator'!$A$10:$Z$225,O$2,FALSE)</f>
        <v>0</v>
      </c>
      <c r="P63" s="582" t="str">
        <f>VLOOKUP($A63,'Pre-Assessment Estimator'!$A$10:$Z$225,P$2,FALSE)</f>
        <v>Credits achieved: 0</v>
      </c>
      <c r="Q63" s="1204" t="str">
        <f>IF(VLOOKUP($A63,'Pre-Assessment Estimator'!$A$10:$Z$225,Q$2,FALSE)=0,"",VLOOKUP($A63,'Pre-Assessment Estimator'!$A$10:$Z$225,Q$2,FALSE))</f>
        <v/>
      </c>
      <c r="R63" s="1204" t="str">
        <f>IF(VLOOKUP($A63,'Pre-Assessment Estimator'!$A$10:$Z$225,R$2,FALSE)=0,"",VLOOKUP($A63,'Pre-Assessment Estimator'!$A$10:$Z$225,R$2,FALSE))</f>
        <v/>
      </c>
      <c r="S63" s="1223" t="str">
        <f>IF(VLOOKUP($A63,'Pre-Assessment Estimator'!$A$10:$Z$225,S$2,FALSE)=0,"",VLOOKUP($A63,'Pre-Assessment Estimator'!$A$10:$Z$225,S$2,FALSE))</f>
        <v/>
      </c>
      <c r="T63" s="1225"/>
      <c r="U63" s="584" t="str">
        <f>IF(VLOOKUP($A63,'Pre-Assessment Estimator'!$A$10:$Z$225,U$2,FALSE)=0,"",VLOOKUP($A63,'Pre-Assessment Estimator'!$A$10:$Z$225,U$2,FALSE))</f>
        <v/>
      </c>
      <c r="V63" s="583">
        <f>VLOOKUP($A63,'Pre-Assessment Estimator'!$A$10:$Z$225,V$2,FALSE)</f>
        <v>0</v>
      </c>
      <c r="W63" s="582" t="str">
        <f>VLOOKUP($A63,'Pre-Assessment Estimator'!$A$10:$Z$225,W$2,FALSE)</f>
        <v>Credits achieved: 0</v>
      </c>
      <c r="X63" s="1204" t="str">
        <f>IF(VLOOKUP($A63,'Pre-Assessment Estimator'!$A$10:$Z$225,X$2,FALSE)=0,"",VLOOKUP($A63,'Pre-Assessment Estimator'!$A$10:$Z$225,X$2,FALSE))</f>
        <v/>
      </c>
      <c r="Y63" s="1204" t="str">
        <f>IF(VLOOKUP($A63,'Pre-Assessment Estimator'!$A$10:$Z$225,Y$2,FALSE)=0,"",VLOOKUP($A63,'Pre-Assessment Estimator'!$A$10:$Z$225,Y$2,FALSE))</f>
        <v/>
      </c>
      <c r="Z63" s="1226" t="str">
        <f>IF(VLOOKUP($A63,'Pre-Assessment Estimator'!$A$10:$Z$225,Z$2,FALSE)=0,"",VLOOKUP($A63,'Pre-Assessment Estimator'!$A$10:$Z$225,Z$2,FALSE))</f>
        <v/>
      </c>
      <c r="AA63" s="696">
        <v>53</v>
      </c>
      <c r="AB63" s="577" t="str">
        <f>IF(VLOOKUP($A63,'Pre-Assessment Estimator'!$A$10:$AB$225,AB$2,FALSE)=0,"",VLOOKUP($A63,'Pre-Assessment Estimator'!$A$10:$AB$225,AB$2,FALSE))</f>
        <v/>
      </c>
      <c r="AF63" s="386">
        <f t="shared" si="0"/>
        <v>1</v>
      </c>
    </row>
    <row r="64" spans="1:42" x14ac:dyDescent="0.25">
      <c r="A64" s="823">
        <v>55</v>
      </c>
      <c r="B64" s="1236" t="s">
        <v>66</v>
      </c>
      <c r="C64" s="1236"/>
      <c r="D64" s="585"/>
      <c r="E64" s="585"/>
      <c r="F64" s="586"/>
      <c r="G64" s="586"/>
      <c r="H64" s="586"/>
      <c r="I64" s="586"/>
      <c r="J64" s="585"/>
      <c r="K64" s="586"/>
      <c r="L64" s="585"/>
      <c r="M64" s="579"/>
      <c r="N64" s="586"/>
      <c r="O64" s="586"/>
      <c r="P64" s="586"/>
      <c r="Q64" s="585"/>
      <c r="R64" s="586"/>
      <c r="S64" s="585"/>
      <c r="T64" s="581"/>
      <c r="U64" s="586"/>
      <c r="V64" s="586"/>
      <c r="W64" s="586"/>
      <c r="X64" s="585"/>
      <c r="Y64" s="586"/>
      <c r="Z64" s="343"/>
      <c r="AA64" s="696">
        <v>54</v>
      </c>
      <c r="AB64" s="585"/>
      <c r="AC64" s="389"/>
      <c r="AD64" s="389"/>
      <c r="AE64" s="389"/>
      <c r="AF64" s="386">
        <f t="shared" si="0"/>
        <v>1</v>
      </c>
    </row>
    <row r="65" spans="1:32" ht="18.75" x14ac:dyDescent="0.25">
      <c r="A65" s="823">
        <v>56</v>
      </c>
      <c r="B65" s="1236" t="s">
        <v>67</v>
      </c>
      <c r="C65" s="1236"/>
      <c r="D65" s="587"/>
      <c r="E65" s="587" t="s">
        <v>67</v>
      </c>
      <c r="F65" s="570"/>
      <c r="G65" s="570"/>
      <c r="H65" s="570"/>
      <c r="I65" s="570"/>
      <c r="J65" s="571" t="str">
        <f>IF(VLOOKUP($A65,'Pre-Assessment Estimator'!$A$10:$Z$225,J$2,FALSE)=0,"",VLOOKUP($A65,'Pre-Assessment Estimator'!$A$10:$Z$225,J$2,FALSE))</f>
        <v/>
      </c>
      <c r="K65" s="570" t="str">
        <f>IF(VLOOKUP($A65,'Pre-Assessment Estimator'!$A$10:$Z$225,K$2,FALSE)=0,"",VLOOKUP($A65,'Pre-Assessment Estimator'!$A$10:$Z$225,K$2,FALSE))</f>
        <v/>
      </c>
      <c r="L65" s="571" t="str">
        <f>IF(VLOOKUP($A65,'Pre-Assessment Estimator'!$A$10:$Z$225,L$2,FALSE)=0,"",VLOOKUP($A65,'Pre-Assessment Estimator'!$A$10:$Z$225,L$2,FALSE))</f>
        <v/>
      </c>
      <c r="M65" s="579"/>
      <c r="N65" s="570" t="str">
        <f>IF(VLOOKUP($A65,'Pre-Assessment Estimator'!$A$10:$Z$225,N$2,FALSE)=0,"",VLOOKUP($A65,'Pre-Assessment Estimator'!$A$10:$Z$225,N$2,FALSE))</f>
        <v/>
      </c>
      <c r="O65" s="570"/>
      <c r="P65" s="570"/>
      <c r="Q65" s="571" t="str">
        <f>IF(VLOOKUP($A65,'Pre-Assessment Estimator'!$A$10:$Z$225,Q$2,FALSE)=0,"",VLOOKUP($A65,'Pre-Assessment Estimator'!$A$10:$Z$225,Q$2,FALSE))</f>
        <v/>
      </c>
      <c r="R65" s="570" t="str">
        <f>IF(VLOOKUP($A65,'Pre-Assessment Estimator'!$A$10:$Z$225,R$2,FALSE)=0,"",VLOOKUP($A65,'Pre-Assessment Estimator'!$A$10:$Z$225,R$2,FALSE))</f>
        <v/>
      </c>
      <c r="S65" s="571" t="str">
        <f>IF(VLOOKUP($A65,'Pre-Assessment Estimator'!$A$10:$Z$225,S$2,FALSE)=0,"",VLOOKUP($A65,'Pre-Assessment Estimator'!$A$10:$Z$225,S$2,FALSE))</f>
        <v/>
      </c>
      <c r="T65" s="581"/>
      <c r="U65" s="570" t="str">
        <f>IF(VLOOKUP($A65,'Pre-Assessment Estimator'!$A$10:$Z$225,U$2,FALSE)=0,"",VLOOKUP($A65,'Pre-Assessment Estimator'!$A$10:$Z$225,U$2,FALSE))</f>
        <v/>
      </c>
      <c r="V65" s="570"/>
      <c r="W65" s="570"/>
      <c r="X65" s="571" t="str">
        <f>IF(VLOOKUP($A65,'Pre-Assessment Estimator'!$A$10:$Z$225,X$2,FALSE)=0,"",VLOOKUP($A65,'Pre-Assessment Estimator'!$A$10:$Z$225,X$2,FALSE))</f>
        <v/>
      </c>
      <c r="Y65" s="570" t="str">
        <f>IF(VLOOKUP($A65,'Pre-Assessment Estimator'!$A$10:$Z$225,Y$2,FALSE)=0,"",VLOOKUP($A65,'Pre-Assessment Estimator'!$A$10:$Z$225,Y$2,FALSE))</f>
        <v/>
      </c>
      <c r="Z65" s="411" t="str">
        <f>IF(VLOOKUP($A65,'Pre-Assessment Estimator'!$A$10:$Z$225,Z$2,FALSE)=0,"",VLOOKUP($A65,'Pre-Assessment Estimator'!$A$10:$Z$225,Z$2,FALSE))</f>
        <v/>
      </c>
      <c r="AA65" s="696">
        <v>55</v>
      </c>
      <c r="AB65" s="697"/>
      <c r="AF65" s="386">
        <f t="shared" si="0"/>
        <v>1</v>
      </c>
    </row>
    <row r="66" spans="1:32" x14ac:dyDescent="0.25">
      <c r="A66" s="823">
        <v>57</v>
      </c>
      <c r="B66" s="1236" t="s">
        <v>67</v>
      </c>
      <c r="C66" s="1236"/>
      <c r="D66" s="1258" t="str">
        <f>VLOOKUP($A66,'Pre-Assessment Estimator'!$A$10:$Z$225,D$2,FALSE)</f>
        <v>Ene 01</v>
      </c>
      <c r="E66" s="1258" t="str">
        <f>VLOOKUP($A66,'Pre-Assessment Estimator'!$A$10:$Z$225,E$2,FALSE)</f>
        <v>Ene 01 Energy efficiency</v>
      </c>
      <c r="F66" s="574">
        <f>VLOOKUP($A66,'Pre-Assessment Estimator'!$A$10:$Z$225,F$2,FALSE)</f>
        <v>12</v>
      </c>
      <c r="G66" s="580" t="str">
        <f>IF(VLOOKUP($A66,'Pre-Assessment Estimator'!$A$10:$Z$225,G$2,FALSE)=0,"",VLOOKUP($A66,'Pre-Assessment Estimator'!$A$10:$Z$225,G$2,FALSE))</f>
        <v/>
      </c>
      <c r="H66" s="1222" t="str">
        <f>VLOOKUP($A66,'Pre-Assessment Estimator'!$A$10:$Z$225,H$2,FALSE)</f>
        <v>0 c. 0 %</v>
      </c>
      <c r="I66" s="576" t="str">
        <f>VLOOKUP($A66,'Pre-Assessment Estimator'!$A$10:$Z$225,I$2,FALSE)</f>
        <v>N/A</v>
      </c>
      <c r="J66" s="577" t="str">
        <f>IF(VLOOKUP($A66,'Pre-Assessment Estimator'!$A$10:$Z$225,J$2,FALSE)=0,"",VLOOKUP($A66,'Pre-Assessment Estimator'!$A$10:$Z$225,J$2,FALSE))</f>
        <v/>
      </c>
      <c r="K66" s="577" t="str">
        <f>IF(VLOOKUP($A66,'Pre-Assessment Estimator'!$A$10:$Z$225,K$2,FALSE)=0,"",VLOOKUP($A66,'Pre-Assessment Estimator'!$A$10:$Z$225,K$2,FALSE))</f>
        <v/>
      </c>
      <c r="L66" s="578" t="str">
        <f>IF(VLOOKUP($A66,'Pre-Assessment Estimator'!$A$10:$Z$225,L$2,FALSE)=0,"",VLOOKUP($A66,'Pre-Assessment Estimator'!$A$10:$Z$225,L$2,FALSE))</f>
        <v/>
      </c>
      <c r="M66" s="579"/>
      <c r="N66" s="580" t="str">
        <f>IF(VLOOKUP($A66,'Pre-Assessment Estimator'!$A$10:$Z$225,N$2,FALSE)=0,"",VLOOKUP($A66,'Pre-Assessment Estimator'!$A$10:$Z$225,N$2,FALSE))</f>
        <v/>
      </c>
      <c r="O66" s="575" t="str">
        <f>VLOOKUP($A66,'Pre-Assessment Estimator'!$A$10:$Z$225,O$2,FALSE)</f>
        <v>0 c. 0 %</v>
      </c>
      <c r="P66" s="574" t="str">
        <f>VLOOKUP($A66,'Pre-Assessment Estimator'!$A$10:$Z$225,P$2,FALSE)</f>
        <v>N/A</v>
      </c>
      <c r="Q66" s="577" t="str">
        <f>IF(VLOOKUP($A66,'Pre-Assessment Estimator'!$A$10:$Z$225,Q$2,FALSE)=0,"",VLOOKUP($A66,'Pre-Assessment Estimator'!$A$10:$Z$225,Q$2,FALSE))</f>
        <v/>
      </c>
      <c r="R66" s="577" t="str">
        <f>IF(VLOOKUP($A66,'Pre-Assessment Estimator'!$A$10:$Z$225,R$2,FALSE)=0,"",VLOOKUP($A66,'Pre-Assessment Estimator'!$A$10:$Z$225,R$2,FALSE))</f>
        <v/>
      </c>
      <c r="S66" s="578" t="str">
        <f>IF(VLOOKUP($A66,'Pre-Assessment Estimator'!$A$10:$Z$225,S$2,FALSE)=0,"",VLOOKUP($A66,'Pre-Assessment Estimator'!$A$10:$Z$225,S$2,FALSE))</f>
        <v/>
      </c>
      <c r="T66" s="581"/>
      <c r="U66" s="580" t="str">
        <f>IF(VLOOKUP($A66,'Pre-Assessment Estimator'!$A$10:$Z$225,U$2,FALSE)=0,"",VLOOKUP($A66,'Pre-Assessment Estimator'!$A$10:$Z$225,U$2,FALSE))</f>
        <v/>
      </c>
      <c r="V66" s="575" t="str">
        <f>VLOOKUP($A66,'Pre-Assessment Estimator'!$A$10:$Z$225,V$2,FALSE)</f>
        <v>0 c. 0 %</v>
      </c>
      <c r="W66" s="574" t="str">
        <f>VLOOKUP($A66,'Pre-Assessment Estimator'!$A$10:$Z$225,W$2,FALSE)</f>
        <v>N/A</v>
      </c>
      <c r="X66" s="577" t="str">
        <f>IF(VLOOKUP($A66,'Pre-Assessment Estimator'!$A$10:$Z$225,X$2,FALSE)=0,"",VLOOKUP($A66,'Pre-Assessment Estimator'!$A$10:$Z$225,X$2,FALSE))</f>
        <v/>
      </c>
      <c r="Y66" s="577" t="str">
        <f>IF(VLOOKUP($A66,'Pre-Assessment Estimator'!$A$10:$Z$225,Y$2,FALSE)=0,"",VLOOKUP($A66,'Pre-Assessment Estimator'!$A$10:$Z$225,Y$2,FALSE))</f>
        <v/>
      </c>
      <c r="Z66" s="370" t="str">
        <f>IF(VLOOKUP($A66,'Pre-Assessment Estimator'!$A$10:$Z$225,Z$2,FALSE)=0,"",VLOOKUP($A66,'Pre-Assessment Estimator'!$A$10:$Z$225,Z$2,FALSE))</f>
        <v/>
      </c>
      <c r="AA66" s="696">
        <v>56</v>
      </c>
      <c r="AB66" s="577" t="str">
        <f>IF(VLOOKUP($A66,'Pre-Assessment Estimator'!$A$10:$AB$225,AB$2,FALSE)=0,"",VLOOKUP($A66,'Pre-Assessment Estimator'!$A$10:$AB$225,AB$2,FALSE))</f>
        <v/>
      </c>
      <c r="AF66" s="386">
        <f t="shared" si="0"/>
        <v>1</v>
      </c>
    </row>
    <row r="67" spans="1:32" x14ac:dyDescent="0.25">
      <c r="A67" s="823">
        <v>58</v>
      </c>
      <c r="B67" s="1236" t="s">
        <v>67</v>
      </c>
      <c r="C67" s="1236"/>
      <c r="D67" s="1259" t="str">
        <f>VLOOKUP($A67,'Pre-Assessment Estimator'!$A$10:$Z$225,D$2,FALSE)</f>
        <v>Ene 01</v>
      </c>
      <c r="E67" s="1260" t="str">
        <f>VLOOKUP($A67,'Pre-Assessment Estimator'!$A$10:$Z$225,E$2,FALSE)</f>
        <v xml:space="preserve">Passive design </v>
      </c>
      <c r="F67" s="574">
        <f>VLOOKUP($A67,'Pre-Assessment Estimator'!$A$10:$Z$225,F$2,FALSE)</f>
        <v>2</v>
      </c>
      <c r="G67" s="580" t="str">
        <f>IF(VLOOKUP($A67,'Pre-Assessment Estimator'!$A$10:$Z$225,G$2,FALSE)=0,"",VLOOKUP($A67,'Pre-Assessment Estimator'!$A$10:$Z$225,G$2,FALSE))</f>
        <v/>
      </c>
      <c r="H67" s="1222">
        <f>VLOOKUP($A67,'Pre-Assessment Estimator'!$A$10:$Z$225,H$2,FALSE)</f>
        <v>0</v>
      </c>
      <c r="I67" s="576" t="str">
        <f>VLOOKUP($A67,'Pre-Assessment Estimator'!$A$10:$Z$225,I$2,FALSE)</f>
        <v>N/A</v>
      </c>
      <c r="J67" s="577" t="str">
        <f>IF(VLOOKUP($A67,'Pre-Assessment Estimator'!$A$10:$Z$225,J$2,FALSE)=0,"",VLOOKUP($A67,'Pre-Assessment Estimator'!$A$10:$Z$225,J$2,FALSE))</f>
        <v/>
      </c>
      <c r="K67" s="577" t="str">
        <f>IF(VLOOKUP($A67,'Pre-Assessment Estimator'!$A$10:$Z$225,K$2,FALSE)=0,"",VLOOKUP($A67,'Pre-Assessment Estimator'!$A$10:$Z$225,K$2,FALSE))</f>
        <v/>
      </c>
      <c r="L67" s="578" t="str">
        <f>IF(VLOOKUP($A67,'Pre-Assessment Estimator'!$A$10:$Z$225,L$2,FALSE)=0,"",VLOOKUP($A67,'Pre-Assessment Estimator'!$A$10:$Z$225,L$2,FALSE))</f>
        <v/>
      </c>
      <c r="M67" s="579"/>
      <c r="N67" s="580" t="str">
        <f>IF(VLOOKUP($A67,'Pre-Assessment Estimator'!$A$10:$Z$225,N$2,FALSE)=0,"",VLOOKUP($A67,'Pre-Assessment Estimator'!$A$10:$Z$225,N$2,FALSE))</f>
        <v/>
      </c>
      <c r="O67" s="575">
        <f>VLOOKUP($A67,'Pre-Assessment Estimator'!$A$10:$Z$225,O$2,FALSE)</f>
        <v>0</v>
      </c>
      <c r="P67" s="574" t="str">
        <f>VLOOKUP($A67,'Pre-Assessment Estimator'!$A$10:$Z$225,P$2,FALSE)</f>
        <v>N/A</v>
      </c>
      <c r="Q67" s="577" t="str">
        <f>IF(VLOOKUP($A67,'Pre-Assessment Estimator'!$A$10:$Z$225,Q$2,FALSE)=0,"",VLOOKUP($A67,'Pre-Assessment Estimator'!$A$10:$Z$225,Q$2,FALSE))</f>
        <v/>
      </c>
      <c r="R67" s="577" t="str">
        <f>IF(VLOOKUP($A67,'Pre-Assessment Estimator'!$A$10:$Z$225,R$2,FALSE)=0,"",VLOOKUP($A67,'Pre-Assessment Estimator'!$A$10:$Z$225,R$2,FALSE))</f>
        <v/>
      </c>
      <c r="S67" s="578" t="str">
        <f>IF(VLOOKUP($A67,'Pre-Assessment Estimator'!$A$10:$Z$225,S$2,FALSE)=0,"",VLOOKUP($A67,'Pre-Assessment Estimator'!$A$10:$Z$225,S$2,FALSE))</f>
        <v/>
      </c>
      <c r="T67" s="581"/>
      <c r="U67" s="580" t="str">
        <f>IF(VLOOKUP($A67,'Pre-Assessment Estimator'!$A$10:$Z$225,U$2,FALSE)=0,"",VLOOKUP($A67,'Pre-Assessment Estimator'!$A$10:$Z$225,U$2,FALSE))</f>
        <v/>
      </c>
      <c r="V67" s="575">
        <f>VLOOKUP($A67,'Pre-Assessment Estimator'!$A$10:$Z$225,V$2,FALSE)</f>
        <v>0</v>
      </c>
      <c r="W67" s="574" t="str">
        <f>VLOOKUP($A67,'Pre-Assessment Estimator'!$A$10:$Z$225,W$2,FALSE)</f>
        <v>N/A</v>
      </c>
      <c r="X67" s="577" t="str">
        <f>IF(VLOOKUP($A67,'Pre-Assessment Estimator'!$A$10:$Z$225,X$2,FALSE)=0,"",VLOOKUP($A67,'Pre-Assessment Estimator'!$A$10:$Z$225,X$2,FALSE))</f>
        <v/>
      </c>
      <c r="Y67" s="577" t="str">
        <f>IF(VLOOKUP($A67,'Pre-Assessment Estimator'!$A$10:$Z$225,Y$2,FALSE)=0,"",VLOOKUP($A67,'Pre-Assessment Estimator'!$A$10:$Z$225,Y$2,FALSE))</f>
        <v/>
      </c>
      <c r="Z67" s="370" t="str">
        <f>IF(VLOOKUP($A67,'Pre-Assessment Estimator'!$A$10:$Z$225,Z$2,FALSE)=0,"",VLOOKUP($A67,'Pre-Assessment Estimator'!$A$10:$Z$225,Z$2,FALSE))</f>
        <v/>
      </c>
      <c r="AA67" s="696">
        <v>57</v>
      </c>
      <c r="AB67" s="577" t="str">
        <f>IF(VLOOKUP($A67,'Pre-Assessment Estimator'!$A$10:$AB$225,AB$2,FALSE)=0,"",VLOOKUP($A67,'Pre-Assessment Estimator'!$A$10:$AB$225,AB$2,FALSE))</f>
        <v/>
      </c>
      <c r="AF67" s="386">
        <f t="shared" si="0"/>
        <v>1</v>
      </c>
    </row>
    <row r="68" spans="1:32" x14ac:dyDescent="0.25">
      <c r="A68" s="823">
        <v>59</v>
      </c>
      <c r="B68" s="1236" t="s">
        <v>67</v>
      </c>
      <c r="C68" s="1236"/>
      <c r="D68" s="1259" t="str">
        <f>VLOOKUP($A68,'Pre-Assessment Estimator'!$A$10:$Z$225,D$2,FALSE)</f>
        <v>Ene 01</v>
      </c>
      <c r="E68" s="1260" t="str">
        <f>VLOOKUP($A68,'Pre-Assessment Estimator'!$A$10:$Z$225,E$2,FALSE)</f>
        <v xml:space="preserve">Low and zero carbon technologies </v>
      </c>
      <c r="F68" s="574">
        <f>VLOOKUP($A68,'Pre-Assessment Estimator'!$A$10:$Z$225,F$2,FALSE)</f>
        <v>1</v>
      </c>
      <c r="G68" s="580" t="str">
        <f>IF(VLOOKUP($A68,'Pre-Assessment Estimator'!$A$10:$Z$225,G$2,FALSE)=0,"",VLOOKUP($A68,'Pre-Assessment Estimator'!$A$10:$Z$225,G$2,FALSE))</f>
        <v/>
      </c>
      <c r="H68" s="1222">
        <f>VLOOKUP($A68,'Pre-Assessment Estimator'!$A$10:$Z$225,H$2,FALSE)</f>
        <v>0</v>
      </c>
      <c r="I68" s="576" t="str">
        <f>VLOOKUP($A68,'Pre-Assessment Estimator'!$A$10:$Z$225,I$2,FALSE)</f>
        <v>N/A</v>
      </c>
      <c r="J68" s="577" t="str">
        <f>IF(VLOOKUP($A68,'Pre-Assessment Estimator'!$A$10:$Z$225,J$2,FALSE)=0,"",VLOOKUP($A68,'Pre-Assessment Estimator'!$A$10:$Z$225,J$2,FALSE))</f>
        <v/>
      </c>
      <c r="K68" s="577" t="str">
        <f>IF(VLOOKUP($A68,'Pre-Assessment Estimator'!$A$10:$Z$225,K$2,FALSE)=0,"",VLOOKUP($A68,'Pre-Assessment Estimator'!$A$10:$Z$225,K$2,FALSE))</f>
        <v/>
      </c>
      <c r="L68" s="578" t="str">
        <f>IF(VLOOKUP($A68,'Pre-Assessment Estimator'!$A$10:$Z$225,L$2,FALSE)=0,"",VLOOKUP($A68,'Pre-Assessment Estimator'!$A$10:$Z$225,L$2,FALSE))</f>
        <v/>
      </c>
      <c r="M68" s="579"/>
      <c r="N68" s="580" t="str">
        <f>IF(VLOOKUP($A68,'Pre-Assessment Estimator'!$A$10:$Z$225,N$2,FALSE)=0,"",VLOOKUP($A68,'Pre-Assessment Estimator'!$A$10:$Z$225,N$2,FALSE))</f>
        <v/>
      </c>
      <c r="O68" s="575">
        <f>VLOOKUP($A68,'Pre-Assessment Estimator'!$A$10:$Z$225,O$2,FALSE)</f>
        <v>0</v>
      </c>
      <c r="P68" s="574" t="str">
        <f>VLOOKUP($A68,'Pre-Assessment Estimator'!$A$10:$Z$225,P$2,FALSE)</f>
        <v>N/A</v>
      </c>
      <c r="Q68" s="577" t="str">
        <f>IF(VLOOKUP($A68,'Pre-Assessment Estimator'!$A$10:$Z$225,Q$2,FALSE)=0,"",VLOOKUP($A68,'Pre-Assessment Estimator'!$A$10:$Z$225,Q$2,FALSE))</f>
        <v/>
      </c>
      <c r="R68" s="577" t="str">
        <f>IF(VLOOKUP($A68,'Pre-Assessment Estimator'!$A$10:$Z$225,R$2,FALSE)=0,"",VLOOKUP($A68,'Pre-Assessment Estimator'!$A$10:$Z$225,R$2,FALSE))</f>
        <v/>
      </c>
      <c r="S68" s="578" t="str">
        <f>IF(VLOOKUP($A68,'Pre-Assessment Estimator'!$A$10:$Z$225,S$2,FALSE)=0,"",VLOOKUP($A68,'Pre-Assessment Estimator'!$A$10:$Z$225,S$2,FALSE))</f>
        <v/>
      </c>
      <c r="T68" s="581"/>
      <c r="U68" s="580" t="str">
        <f>IF(VLOOKUP($A68,'Pre-Assessment Estimator'!$A$10:$Z$225,U$2,FALSE)=0,"",VLOOKUP($A68,'Pre-Assessment Estimator'!$A$10:$Z$225,U$2,FALSE))</f>
        <v/>
      </c>
      <c r="V68" s="575">
        <f>VLOOKUP($A68,'Pre-Assessment Estimator'!$A$10:$Z$225,V$2,FALSE)</f>
        <v>0</v>
      </c>
      <c r="W68" s="574" t="str">
        <f>VLOOKUP($A68,'Pre-Assessment Estimator'!$A$10:$Z$225,W$2,FALSE)</f>
        <v>N/A</v>
      </c>
      <c r="X68" s="577" t="str">
        <f>IF(VLOOKUP($A68,'Pre-Assessment Estimator'!$A$10:$Z$225,X$2,FALSE)=0,"",VLOOKUP($A68,'Pre-Assessment Estimator'!$A$10:$Z$225,X$2,FALSE))</f>
        <v/>
      </c>
      <c r="Y68" s="577" t="str">
        <f>IF(VLOOKUP($A68,'Pre-Assessment Estimator'!$A$10:$Z$225,Y$2,FALSE)=0,"",VLOOKUP($A68,'Pre-Assessment Estimator'!$A$10:$Z$225,Y$2,FALSE))</f>
        <v/>
      </c>
      <c r="Z68" s="370" t="str">
        <f>IF(VLOOKUP($A68,'Pre-Assessment Estimator'!$A$10:$Z$225,Z$2,FALSE)=0,"",VLOOKUP($A68,'Pre-Assessment Estimator'!$A$10:$Z$225,Z$2,FALSE))</f>
        <v/>
      </c>
      <c r="AA68" s="696">
        <v>58</v>
      </c>
      <c r="AB68" s="577" t="str">
        <f>IF(VLOOKUP($A68,'Pre-Assessment Estimator'!$A$10:$AB$225,AB$2,FALSE)=0,"",VLOOKUP($A68,'Pre-Assessment Estimator'!$A$10:$AB$225,AB$2,FALSE))</f>
        <v/>
      </c>
      <c r="AF68" s="386">
        <f t="shared" si="0"/>
        <v>1</v>
      </c>
    </row>
    <row r="69" spans="1:32" x14ac:dyDescent="0.25">
      <c r="A69" s="823">
        <v>60</v>
      </c>
      <c r="B69" s="1236" t="s">
        <v>67</v>
      </c>
      <c r="C69" s="1236"/>
      <c r="D69" s="1259" t="str">
        <f>VLOOKUP($A69,'Pre-Assessment Estimator'!$A$10:$Z$225,D$2,FALSE)</f>
        <v>Ene 01</v>
      </c>
      <c r="E69" s="1260" t="str">
        <f>VLOOKUP($A69,'Pre-Assessment Estimator'!$A$10:$Z$225,E$2,FALSE)</f>
        <v xml:space="preserve">Energy performance </v>
      </c>
      <c r="F69" s="574">
        <f>VLOOKUP($A69,'Pre-Assessment Estimator'!$A$10:$Z$225,F$2,FALSE)</f>
        <v>4</v>
      </c>
      <c r="G69" s="580" t="str">
        <f>IF(VLOOKUP($A69,'Pre-Assessment Estimator'!$A$10:$Z$225,G$2,FALSE)=0,"",VLOOKUP($A69,'Pre-Assessment Estimator'!$A$10:$Z$225,G$2,FALSE))</f>
        <v/>
      </c>
      <c r="H69" s="1222">
        <f>VLOOKUP($A69,'Pre-Assessment Estimator'!$A$10:$Z$225,H$2,FALSE)</f>
        <v>0</v>
      </c>
      <c r="I69" s="576" t="str">
        <f>VLOOKUP($A69,'Pre-Assessment Estimator'!$A$10:$Z$225,I$2,FALSE)</f>
        <v>Very Good</v>
      </c>
      <c r="J69" s="577" t="str">
        <f>IF(VLOOKUP($A69,'Pre-Assessment Estimator'!$A$10:$Z$225,J$2,FALSE)=0,"",VLOOKUP($A69,'Pre-Assessment Estimator'!$A$10:$Z$225,J$2,FALSE))</f>
        <v/>
      </c>
      <c r="K69" s="577" t="str">
        <f>IF(VLOOKUP($A69,'Pre-Assessment Estimator'!$A$10:$Z$225,K$2,FALSE)=0,"",VLOOKUP($A69,'Pre-Assessment Estimator'!$A$10:$Z$225,K$2,FALSE))</f>
        <v/>
      </c>
      <c r="L69" s="578" t="str">
        <f>IF(VLOOKUP($A69,'Pre-Assessment Estimator'!$A$10:$Z$225,L$2,FALSE)=0,"",VLOOKUP($A69,'Pre-Assessment Estimator'!$A$10:$Z$225,L$2,FALSE))</f>
        <v/>
      </c>
      <c r="M69" s="579"/>
      <c r="N69" s="580" t="str">
        <f>IF(VLOOKUP($A69,'Pre-Assessment Estimator'!$A$10:$Z$225,N$2,FALSE)=0,"",VLOOKUP($A69,'Pre-Assessment Estimator'!$A$10:$Z$225,N$2,FALSE))</f>
        <v/>
      </c>
      <c r="O69" s="575">
        <f>VLOOKUP($A69,'Pre-Assessment Estimator'!$A$10:$Z$225,O$2,FALSE)</f>
        <v>0</v>
      </c>
      <c r="P69" s="574" t="str">
        <f>VLOOKUP($A69,'Pre-Assessment Estimator'!$A$10:$Z$225,P$2,FALSE)</f>
        <v>Very Good</v>
      </c>
      <c r="Q69" s="577" t="str">
        <f>IF(VLOOKUP($A69,'Pre-Assessment Estimator'!$A$10:$Z$225,Q$2,FALSE)=0,"",VLOOKUP($A69,'Pre-Assessment Estimator'!$A$10:$Z$225,Q$2,FALSE))</f>
        <v/>
      </c>
      <c r="R69" s="577" t="str">
        <f>IF(VLOOKUP($A69,'Pre-Assessment Estimator'!$A$10:$Z$225,R$2,FALSE)=0,"",VLOOKUP($A69,'Pre-Assessment Estimator'!$A$10:$Z$225,R$2,FALSE))</f>
        <v/>
      </c>
      <c r="S69" s="578" t="str">
        <f>IF(VLOOKUP($A69,'Pre-Assessment Estimator'!$A$10:$Z$225,S$2,FALSE)=0,"",VLOOKUP($A69,'Pre-Assessment Estimator'!$A$10:$Z$225,S$2,FALSE))</f>
        <v/>
      </c>
      <c r="T69" s="581"/>
      <c r="U69" s="580" t="str">
        <f>IF(VLOOKUP($A69,'Pre-Assessment Estimator'!$A$10:$Z$225,U$2,FALSE)=0,"",VLOOKUP($A69,'Pre-Assessment Estimator'!$A$10:$Z$225,U$2,FALSE))</f>
        <v/>
      </c>
      <c r="V69" s="575">
        <f>VLOOKUP($A69,'Pre-Assessment Estimator'!$A$10:$Z$225,V$2,FALSE)</f>
        <v>0</v>
      </c>
      <c r="W69" s="574" t="str">
        <f>VLOOKUP($A69,'Pre-Assessment Estimator'!$A$10:$Z$225,W$2,FALSE)</f>
        <v>Very Good</v>
      </c>
      <c r="X69" s="577" t="str">
        <f>IF(VLOOKUP($A69,'Pre-Assessment Estimator'!$A$10:$Z$225,X$2,FALSE)=0,"",VLOOKUP($A69,'Pre-Assessment Estimator'!$A$10:$Z$225,X$2,FALSE))</f>
        <v/>
      </c>
      <c r="Y69" s="577" t="str">
        <f>IF(VLOOKUP($A69,'Pre-Assessment Estimator'!$A$10:$Z$225,Y$2,FALSE)=0,"",VLOOKUP($A69,'Pre-Assessment Estimator'!$A$10:$Z$225,Y$2,FALSE))</f>
        <v/>
      </c>
      <c r="Z69" s="370" t="str">
        <f>IF(VLOOKUP($A69,'Pre-Assessment Estimator'!$A$10:$Z$225,Z$2,FALSE)=0,"",VLOOKUP($A69,'Pre-Assessment Estimator'!$A$10:$Z$225,Z$2,FALSE))</f>
        <v/>
      </c>
      <c r="AA69" s="696">
        <v>59</v>
      </c>
      <c r="AB69" s="577"/>
      <c r="AF69" s="386">
        <f t="shared" si="0"/>
        <v>1</v>
      </c>
    </row>
    <row r="70" spans="1:32" x14ac:dyDescent="0.25">
      <c r="A70" s="823">
        <v>61</v>
      </c>
      <c r="B70" s="1236" t="s">
        <v>67</v>
      </c>
      <c r="C70" s="1236"/>
      <c r="D70" s="1259" t="str">
        <f>VLOOKUP($A70,'Pre-Assessment Estimator'!$A$10:$Z$225,D$2,FALSE)</f>
        <v>Ene 01</v>
      </c>
      <c r="E70" s="1262" t="str">
        <f>VLOOKUP($A70,'Pre-Assessment Estimator'!$A$10:$Z$225,E$2,FALSE)</f>
        <v>EU taxonomy requirements: criterion 10 - thermographic survey</v>
      </c>
      <c r="F70" s="574" t="str">
        <f>VLOOKUP($A70,'Pre-Assessment Estimator'!$A$10:$Z$225,F$2,FALSE)</f>
        <v>Yes/No</v>
      </c>
      <c r="G70" s="580" t="str">
        <f>IF(VLOOKUP($A70,'Pre-Assessment Estimator'!$A$10:$Z$225,G$2,FALSE)=0,"",VLOOKUP($A70,'Pre-Assessment Estimator'!$A$10:$Z$225,G$2,FALSE))</f>
        <v/>
      </c>
      <c r="H70" s="1222" t="str">
        <f>VLOOKUP($A70,'Pre-Assessment Estimator'!$A$10:$Z$225,H$2,FALSE)</f>
        <v>-</v>
      </c>
      <c r="I70" s="576" t="str">
        <f>VLOOKUP($A70,'Pre-Assessment Estimator'!$A$10:$Z$225,I$2,FALSE)</f>
        <v>N/A</v>
      </c>
      <c r="J70" s="577" t="str">
        <f>IF(VLOOKUP($A70,'Pre-Assessment Estimator'!$A$10:$Z$225,J$2,FALSE)=0,"",VLOOKUP($A70,'Pre-Assessment Estimator'!$A$10:$Z$225,J$2,FALSE))</f>
        <v/>
      </c>
      <c r="K70" s="577" t="str">
        <f>IF(VLOOKUP($A70,'Pre-Assessment Estimator'!$A$10:$Z$225,K$2,FALSE)=0,"",VLOOKUP($A70,'Pre-Assessment Estimator'!$A$10:$Z$225,K$2,FALSE))</f>
        <v/>
      </c>
      <c r="L70" s="578" t="str">
        <f>IF(VLOOKUP($A70,'Pre-Assessment Estimator'!$A$10:$Z$225,L$2,FALSE)=0,"",VLOOKUP($A70,'Pre-Assessment Estimator'!$A$10:$Z$225,L$2,FALSE))</f>
        <v/>
      </c>
      <c r="M70" s="579"/>
      <c r="N70" s="580" t="str">
        <f>IF(VLOOKUP($A70,'Pre-Assessment Estimator'!$A$10:$Z$225,N$2,FALSE)=0,"",VLOOKUP($A70,'Pre-Assessment Estimator'!$A$10:$Z$225,N$2,FALSE))</f>
        <v/>
      </c>
      <c r="O70" s="575" t="str">
        <f>VLOOKUP($A70,'Pre-Assessment Estimator'!$A$10:$Z$225,O$2,FALSE)</f>
        <v>-</v>
      </c>
      <c r="P70" s="574" t="str">
        <f>VLOOKUP($A70,'Pre-Assessment Estimator'!$A$10:$Z$225,P$2,FALSE)</f>
        <v>N/A</v>
      </c>
      <c r="Q70" s="577" t="str">
        <f>IF(VLOOKUP($A70,'Pre-Assessment Estimator'!$A$10:$Z$225,Q$2,FALSE)=0,"",VLOOKUP($A70,'Pre-Assessment Estimator'!$A$10:$Z$225,Q$2,FALSE))</f>
        <v/>
      </c>
      <c r="R70" s="577" t="str">
        <f>IF(VLOOKUP($A70,'Pre-Assessment Estimator'!$A$10:$Z$225,R$2,FALSE)=0,"",VLOOKUP($A70,'Pre-Assessment Estimator'!$A$10:$Z$225,R$2,FALSE))</f>
        <v/>
      </c>
      <c r="S70" s="578" t="str">
        <f>IF(VLOOKUP($A70,'Pre-Assessment Estimator'!$A$10:$Z$225,S$2,FALSE)=0,"",VLOOKUP($A70,'Pre-Assessment Estimator'!$A$10:$Z$225,S$2,FALSE))</f>
        <v/>
      </c>
      <c r="T70" s="581"/>
      <c r="U70" s="580" t="str">
        <f>IF(VLOOKUP($A70,'Pre-Assessment Estimator'!$A$10:$Z$225,U$2,FALSE)=0,"",VLOOKUP($A70,'Pre-Assessment Estimator'!$A$10:$Z$225,U$2,FALSE))</f>
        <v/>
      </c>
      <c r="V70" s="575" t="str">
        <f>VLOOKUP($A70,'Pre-Assessment Estimator'!$A$10:$Z$225,V$2,FALSE)</f>
        <v>-</v>
      </c>
      <c r="W70" s="574" t="str">
        <f>VLOOKUP($A70,'Pre-Assessment Estimator'!$A$10:$Z$225,W$2,FALSE)</f>
        <v>N/A</v>
      </c>
      <c r="X70" s="577" t="str">
        <f>IF(VLOOKUP($A70,'Pre-Assessment Estimator'!$A$10:$Z$225,X$2,FALSE)=0,"",VLOOKUP($A70,'Pre-Assessment Estimator'!$A$10:$Z$225,X$2,FALSE))</f>
        <v/>
      </c>
      <c r="Y70" s="577" t="str">
        <f>IF(VLOOKUP($A70,'Pre-Assessment Estimator'!$A$10:$Z$225,Y$2,FALSE)=0,"",VLOOKUP($A70,'Pre-Assessment Estimator'!$A$10:$Z$225,Y$2,FALSE))</f>
        <v/>
      </c>
      <c r="Z70" s="370" t="str">
        <f>IF(VLOOKUP($A70,'Pre-Assessment Estimator'!$A$10:$Z$225,Z$2,FALSE)=0,"",VLOOKUP($A70,'Pre-Assessment Estimator'!$A$10:$Z$225,Z$2,FALSE))</f>
        <v/>
      </c>
      <c r="AA70" s="696">
        <v>60</v>
      </c>
      <c r="AB70" s="577"/>
      <c r="AF70" s="386">
        <f t="shared" si="0"/>
        <v>1</v>
      </c>
    </row>
    <row r="71" spans="1:32" x14ac:dyDescent="0.25">
      <c r="A71" s="823">
        <v>62</v>
      </c>
      <c r="B71" s="1236" t="s">
        <v>67</v>
      </c>
      <c r="C71" s="1236"/>
      <c r="D71" s="1259" t="str">
        <f>VLOOKUP($A71,'Pre-Assessment Estimator'!$A$10:$Z$225,D$2,FALSE)</f>
        <v>Ene 01</v>
      </c>
      <c r="E71" s="1260" t="str">
        <f>VLOOKUP($A71,'Pre-Assessment Estimator'!$A$10:$Z$225,E$2,FALSE)</f>
        <v>Adaptation to EU taxonomy (criterion 12)</v>
      </c>
      <c r="F71" s="574">
        <f>VLOOKUP($A71,'Pre-Assessment Estimator'!$A$10:$Z$225,F$2,FALSE)</f>
        <v>1</v>
      </c>
      <c r="G71" s="580" t="str">
        <f>IF(VLOOKUP($A71,'Pre-Assessment Estimator'!$A$10:$Z$225,G$2,FALSE)=0,"",VLOOKUP($A71,'Pre-Assessment Estimator'!$A$10:$Z$225,G$2,FALSE))</f>
        <v/>
      </c>
      <c r="H71" s="1222">
        <f>VLOOKUP($A71,'Pre-Assessment Estimator'!$A$10:$Z$225,H$2,FALSE)</f>
        <v>0</v>
      </c>
      <c r="I71" s="576" t="str">
        <f>VLOOKUP($A71,'Pre-Assessment Estimator'!$A$10:$Z$225,I$2,FALSE)</f>
        <v>Very Good</v>
      </c>
      <c r="J71" s="577" t="str">
        <f>IF(VLOOKUP($A71,'Pre-Assessment Estimator'!$A$10:$Z$225,J$2,FALSE)=0,"",VLOOKUP($A71,'Pre-Assessment Estimator'!$A$10:$Z$225,J$2,FALSE))</f>
        <v/>
      </c>
      <c r="K71" s="577" t="str">
        <f>IF(VLOOKUP($A71,'Pre-Assessment Estimator'!$A$10:$Z$225,K$2,FALSE)=0,"",VLOOKUP($A71,'Pre-Assessment Estimator'!$A$10:$Z$225,K$2,FALSE))</f>
        <v/>
      </c>
      <c r="L71" s="578" t="str">
        <f>IF(VLOOKUP($A71,'Pre-Assessment Estimator'!$A$10:$Z$225,L$2,FALSE)=0,"",VLOOKUP($A71,'Pre-Assessment Estimator'!$A$10:$Z$225,L$2,FALSE))</f>
        <v/>
      </c>
      <c r="M71" s="579"/>
      <c r="N71" s="580" t="str">
        <f>IF(VLOOKUP($A71,'Pre-Assessment Estimator'!$A$10:$Z$225,N$2,FALSE)=0,"",VLOOKUP($A71,'Pre-Assessment Estimator'!$A$10:$Z$225,N$2,FALSE))</f>
        <v/>
      </c>
      <c r="O71" s="575">
        <f>VLOOKUP($A71,'Pre-Assessment Estimator'!$A$10:$Z$225,O$2,FALSE)</f>
        <v>0</v>
      </c>
      <c r="P71" s="574" t="str">
        <f>VLOOKUP($A71,'Pre-Assessment Estimator'!$A$10:$Z$225,P$2,FALSE)</f>
        <v>Very Good</v>
      </c>
      <c r="Q71" s="577" t="str">
        <f>IF(VLOOKUP($A71,'Pre-Assessment Estimator'!$A$10:$Z$225,Q$2,FALSE)=0,"",VLOOKUP($A71,'Pre-Assessment Estimator'!$A$10:$Z$225,Q$2,FALSE))</f>
        <v/>
      </c>
      <c r="R71" s="577" t="str">
        <f>IF(VLOOKUP($A71,'Pre-Assessment Estimator'!$A$10:$Z$225,R$2,FALSE)=0,"",VLOOKUP($A71,'Pre-Assessment Estimator'!$A$10:$Z$225,R$2,FALSE))</f>
        <v/>
      </c>
      <c r="S71" s="578" t="str">
        <f>IF(VLOOKUP($A71,'Pre-Assessment Estimator'!$A$10:$Z$225,S$2,FALSE)=0,"",VLOOKUP($A71,'Pre-Assessment Estimator'!$A$10:$Z$225,S$2,FALSE))</f>
        <v/>
      </c>
      <c r="T71" s="581"/>
      <c r="U71" s="580" t="str">
        <f>IF(VLOOKUP($A71,'Pre-Assessment Estimator'!$A$10:$Z$225,U$2,FALSE)=0,"",VLOOKUP($A71,'Pre-Assessment Estimator'!$A$10:$Z$225,U$2,FALSE))</f>
        <v/>
      </c>
      <c r="V71" s="575">
        <f>VLOOKUP($A71,'Pre-Assessment Estimator'!$A$10:$Z$225,V$2,FALSE)</f>
        <v>0</v>
      </c>
      <c r="W71" s="574" t="str">
        <f>VLOOKUP($A71,'Pre-Assessment Estimator'!$A$10:$Z$225,W$2,FALSE)</f>
        <v>Very Good</v>
      </c>
      <c r="X71" s="577" t="str">
        <f>IF(VLOOKUP($A71,'Pre-Assessment Estimator'!$A$10:$Z$225,X$2,FALSE)=0,"",VLOOKUP($A71,'Pre-Assessment Estimator'!$A$10:$Z$225,X$2,FALSE))</f>
        <v/>
      </c>
      <c r="Y71" s="577" t="str">
        <f>IF(VLOOKUP($A71,'Pre-Assessment Estimator'!$A$10:$Z$225,Y$2,FALSE)=0,"",VLOOKUP($A71,'Pre-Assessment Estimator'!$A$10:$Z$225,Y$2,FALSE))</f>
        <v/>
      </c>
      <c r="Z71" s="370" t="str">
        <f>IF(VLOOKUP($A71,'Pre-Assessment Estimator'!$A$10:$Z$225,Z$2,FALSE)=0,"",VLOOKUP($A71,'Pre-Assessment Estimator'!$A$10:$Z$225,Z$2,FALSE))</f>
        <v/>
      </c>
      <c r="AA71" s="696">
        <v>61</v>
      </c>
      <c r="AB71" s="577"/>
    </row>
    <row r="72" spans="1:32" x14ac:dyDescent="0.25">
      <c r="A72" s="823">
        <v>63</v>
      </c>
      <c r="B72" s="1236" t="s">
        <v>67</v>
      </c>
      <c r="C72" s="1236"/>
      <c r="D72" s="1259" t="str">
        <f>VLOOKUP($A72,'Pre-Assessment Estimator'!$A$10:$Z$225,D$2,FALSE)</f>
        <v>Ene 01</v>
      </c>
      <c r="E72" s="1260" t="str">
        <f>VLOOKUP($A72,'Pre-Assessment Estimator'!$A$10:$Z$225,E$2,FALSE)</f>
        <v xml:space="preserve">Prediction of operational energy consumption </v>
      </c>
      <c r="F72" s="574">
        <f>VLOOKUP($A72,'Pre-Assessment Estimator'!$A$10:$Z$225,F$2,FALSE)</f>
        <v>4</v>
      </c>
      <c r="G72" s="580" t="str">
        <f>IF(VLOOKUP($A72,'Pre-Assessment Estimator'!$A$10:$Z$225,G$2,FALSE)=0,"",VLOOKUP($A72,'Pre-Assessment Estimator'!$A$10:$Z$225,G$2,FALSE))</f>
        <v/>
      </c>
      <c r="H72" s="1222">
        <f>VLOOKUP($A72,'Pre-Assessment Estimator'!$A$10:$Z$225,H$2,FALSE)</f>
        <v>0</v>
      </c>
      <c r="I72" s="576" t="str">
        <f>VLOOKUP($A72,'Pre-Assessment Estimator'!$A$10:$Z$225,I$2,FALSE)</f>
        <v>N/A</v>
      </c>
      <c r="J72" s="577" t="str">
        <f>IF(VLOOKUP($A72,'Pre-Assessment Estimator'!$A$10:$Z$225,J$2,FALSE)=0,"",VLOOKUP($A72,'Pre-Assessment Estimator'!$A$10:$Z$225,J$2,FALSE))</f>
        <v/>
      </c>
      <c r="K72" s="577" t="str">
        <f>IF(VLOOKUP($A72,'Pre-Assessment Estimator'!$A$10:$Z$225,K$2,FALSE)=0,"",VLOOKUP($A72,'Pre-Assessment Estimator'!$A$10:$Z$225,K$2,FALSE))</f>
        <v/>
      </c>
      <c r="L72" s="578" t="str">
        <f>IF(VLOOKUP($A72,'Pre-Assessment Estimator'!$A$10:$Z$225,L$2,FALSE)=0,"",VLOOKUP($A72,'Pre-Assessment Estimator'!$A$10:$Z$225,L$2,FALSE))</f>
        <v/>
      </c>
      <c r="M72" s="579"/>
      <c r="N72" s="580" t="str">
        <f>IF(VLOOKUP($A72,'Pre-Assessment Estimator'!$A$10:$Z$225,N$2,FALSE)=0,"",VLOOKUP($A72,'Pre-Assessment Estimator'!$A$10:$Z$225,N$2,FALSE))</f>
        <v/>
      </c>
      <c r="O72" s="575">
        <f>VLOOKUP($A72,'Pre-Assessment Estimator'!$A$10:$Z$225,O$2,FALSE)</f>
        <v>0</v>
      </c>
      <c r="P72" s="574" t="str">
        <f>VLOOKUP($A72,'Pre-Assessment Estimator'!$A$10:$Z$225,P$2,FALSE)</f>
        <v>N/A</v>
      </c>
      <c r="Q72" s="577" t="str">
        <f>IF(VLOOKUP($A72,'Pre-Assessment Estimator'!$A$10:$Z$225,Q$2,FALSE)=0,"",VLOOKUP($A72,'Pre-Assessment Estimator'!$A$10:$Z$225,Q$2,FALSE))</f>
        <v/>
      </c>
      <c r="R72" s="577" t="str">
        <f>IF(VLOOKUP($A72,'Pre-Assessment Estimator'!$A$10:$Z$225,R$2,FALSE)=0,"",VLOOKUP($A72,'Pre-Assessment Estimator'!$A$10:$Z$225,R$2,FALSE))</f>
        <v/>
      </c>
      <c r="S72" s="578" t="str">
        <f>IF(VLOOKUP($A72,'Pre-Assessment Estimator'!$A$10:$Z$225,S$2,FALSE)=0,"",VLOOKUP($A72,'Pre-Assessment Estimator'!$A$10:$Z$225,S$2,FALSE))</f>
        <v/>
      </c>
      <c r="T72" s="581"/>
      <c r="U72" s="580" t="str">
        <f>IF(VLOOKUP($A72,'Pre-Assessment Estimator'!$A$10:$Z$225,U$2,FALSE)=0,"",VLOOKUP($A72,'Pre-Assessment Estimator'!$A$10:$Z$225,U$2,FALSE))</f>
        <v/>
      </c>
      <c r="V72" s="575">
        <f>VLOOKUP($A72,'Pre-Assessment Estimator'!$A$10:$Z$225,V$2,FALSE)</f>
        <v>0</v>
      </c>
      <c r="W72" s="574" t="str">
        <f>VLOOKUP($A72,'Pre-Assessment Estimator'!$A$10:$Z$225,W$2,FALSE)</f>
        <v>N/A</v>
      </c>
      <c r="X72" s="577" t="str">
        <f>IF(VLOOKUP($A72,'Pre-Assessment Estimator'!$A$10:$Z$225,X$2,FALSE)=0,"",VLOOKUP($A72,'Pre-Assessment Estimator'!$A$10:$Z$225,X$2,FALSE))</f>
        <v/>
      </c>
      <c r="Y72" s="577" t="str">
        <f>IF(VLOOKUP($A72,'Pre-Assessment Estimator'!$A$10:$Z$225,Y$2,FALSE)=0,"",VLOOKUP($A72,'Pre-Assessment Estimator'!$A$10:$Z$225,Y$2,FALSE))</f>
        <v/>
      </c>
      <c r="Z72" s="370" t="str">
        <f>IF(VLOOKUP($A72,'Pre-Assessment Estimator'!$A$10:$Z$225,Z$2,FALSE)=0,"",VLOOKUP($A72,'Pre-Assessment Estimator'!$A$10:$Z$225,Z$2,FALSE))</f>
        <v/>
      </c>
      <c r="AA72" s="696">
        <v>62</v>
      </c>
      <c r="AB72" s="577"/>
      <c r="AF72" s="386">
        <f t="shared" si="0"/>
        <v>1</v>
      </c>
    </row>
    <row r="73" spans="1:32" x14ac:dyDescent="0.25">
      <c r="A73" s="823">
        <v>64</v>
      </c>
      <c r="B73" s="1236" t="s">
        <v>67</v>
      </c>
      <c r="C73" s="1236"/>
      <c r="D73" s="1258" t="str">
        <f>VLOOKUP($A73,'Pre-Assessment Estimator'!$A$10:$Z$225,D$2,FALSE)</f>
        <v>Ene 02</v>
      </c>
      <c r="E73" s="1258" t="str">
        <f>VLOOKUP($A73,'Pre-Assessment Estimator'!$A$10:$Z$225,E$2,FALSE)</f>
        <v>Ene 02 Energy monitoring</v>
      </c>
      <c r="F73" s="574">
        <f>VLOOKUP($A73,'Pre-Assessment Estimator'!$A$10:$Z$225,F$2,FALSE)</f>
        <v>2</v>
      </c>
      <c r="G73" s="580" t="str">
        <f>IF(VLOOKUP($A73,'Pre-Assessment Estimator'!$A$10:$Z$225,G$2,FALSE)=0,"",VLOOKUP($A73,'Pre-Assessment Estimator'!$A$10:$Z$225,G$2,FALSE))</f>
        <v/>
      </c>
      <c r="H73" s="1222" t="str">
        <f>VLOOKUP($A73,'Pre-Assessment Estimator'!$A$10:$Z$225,H$2,FALSE)</f>
        <v>0 c. 0 %</v>
      </c>
      <c r="I73" s="576" t="str">
        <f>VLOOKUP($A73,'Pre-Assessment Estimator'!$A$10:$Z$225,I$2,FALSE)</f>
        <v>N/A</v>
      </c>
      <c r="J73" s="577" t="str">
        <f>IF(VLOOKUP($A73,'Pre-Assessment Estimator'!$A$10:$Z$225,J$2,FALSE)=0,"",VLOOKUP($A73,'Pre-Assessment Estimator'!$A$10:$Z$225,J$2,FALSE))</f>
        <v/>
      </c>
      <c r="K73" s="577" t="str">
        <f>IF(VLOOKUP($A73,'Pre-Assessment Estimator'!$A$10:$Z$225,K$2,FALSE)=0,"",VLOOKUP($A73,'Pre-Assessment Estimator'!$A$10:$Z$225,K$2,FALSE))</f>
        <v/>
      </c>
      <c r="L73" s="578" t="str">
        <f>IF(VLOOKUP($A73,'Pre-Assessment Estimator'!$A$10:$Z$225,L$2,FALSE)=0,"",VLOOKUP($A73,'Pre-Assessment Estimator'!$A$10:$Z$225,L$2,FALSE))</f>
        <v/>
      </c>
      <c r="M73" s="579"/>
      <c r="N73" s="580" t="str">
        <f>IF(VLOOKUP($A73,'Pre-Assessment Estimator'!$A$10:$Z$225,N$2,FALSE)=0,"",VLOOKUP($A73,'Pre-Assessment Estimator'!$A$10:$Z$225,N$2,FALSE))</f>
        <v/>
      </c>
      <c r="O73" s="575" t="str">
        <f>VLOOKUP($A73,'Pre-Assessment Estimator'!$A$10:$Z$225,O$2,FALSE)</f>
        <v>0 c. 0 %</v>
      </c>
      <c r="P73" s="574" t="str">
        <f>VLOOKUP($A73,'Pre-Assessment Estimator'!$A$10:$Z$225,P$2,FALSE)</f>
        <v>N/A</v>
      </c>
      <c r="Q73" s="577" t="str">
        <f>IF(VLOOKUP($A73,'Pre-Assessment Estimator'!$A$10:$Z$225,Q$2,FALSE)=0,"",VLOOKUP($A73,'Pre-Assessment Estimator'!$A$10:$Z$225,Q$2,FALSE))</f>
        <v/>
      </c>
      <c r="R73" s="577" t="str">
        <f>IF(VLOOKUP($A73,'Pre-Assessment Estimator'!$A$10:$Z$225,R$2,FALSE)=0,"",VLOOKUP($A73,'Pre-Assessment Estimator'!$A$10:$Z$225,R$2,FALSE))</f>
        <v/>
      </c>
      <c r="S73" s="578" t="str">
        <f>IF(VLOOKUP($A73,'Pre-Assessment Estimator'!$A$10:$Z$225,S$2,FALSE)=0,"",VLOOKUP($A73,'Pre-Assessment Estimator'!$A$10:$Z$225,S$2,FALSE))</f>
        <v/>
      </c>
      <c r="T73" s="581"/>
      <c r="U73" s="580" t="str">
        <f>IF(VLOOKUP($A73,'Pre-Assessment Estimator'!$A$10:$Z$225,U$2,FALSE)=0,"",VLOOKUP($A73,'Pre-Assessment Estimator'!$A$10:$Z$225,U$2,FALSE))</f>
        <v/>
      </c>
      <c r="V73" s="575" t="str">
        <f>VLOOKUP($A73,'Pre-Assessment Estimator'!$A$10:$Z$225,V$2,FALSE)</f>
        <v>0 c. 0 %</v>
      </c>
      <c r="W73" s="574" t="str">
        <f>VLOOKUP($A73,'Pre-Assessment Estimator'!$A$10:$Z$225,W$2,FALSE)</f>
        <v>N/A</v>
      </c>
      <c r="X73" s="577" t="str">
        <f>IF(VLOOKUP($A73,'Pre-Assessment Estimator'!$A$10:$Z$225,X$2,FALSE)=0,"",VLOOKUP($A73,'Pre-Assessment Estimator'!$A$10:$Z$225,X$2,FALSE))</f>
        <v/>
      </c>
      <c r="Y73" s="577" t="str">
        <f>IF(VLOOKUP($A73,'Pre-Assessment Estimator'!$A$10:$Z$225,Y$2,FALSE)=0,"",VLOOKUP($A73,'Pre-Assessment Estimator'!$A$10:$Z$225,Y$2,FALSE))</f>
        <v/>
      </c>
      <c r="Z73" s="370" t="str">
        <f>IF(VLOOKUP($A73,'Pre-Assessment Estimator'!$A$10:$Z$225,Z$2,FALSE)=0,"",VLOOKUP($A73,'Pre-Assessment Estimator'!$A$10:$Z$225,Z$2,FALSE))</f>
        <v/>
      </c>
      <c r="AA73" s="696">
        <v>63</v>
      </c>
      <c r="AB73" s="577"/>
      <c r="AF73" s="386">
        <f t="shared" si="0"/>
        <v>1</v>
      </c>
    </row>
    <row r="74" spans="1:32" x14ac:dyDescent="0.25">
      <c r="A74" s="823">
        <v>65</v>
      </c>
      <c r="B74" s="1236" t="s">
        <v>67</v>
      </c>
      <c r="C74" s="1236"/>
      <c r="D74" s="1259" t="str">
        <f>VLOOKUP($A74,'Pre-Assessment Estimator'!$A$10:$Z$225,D$2,FALSE)</f>
        <v>Ene 02</v>
      </c>
      <c r="E74" s="1260" t="str">
        <f>VLOOKUP($A74,'Pre-Assessment Estimator'!$A$10:$Z$225,E$2,FALSE)</f>
        <v xml:space="preserve">Sub-metering of end-use categories </v>
      </c>
      <c r="F74" s="574">
        <f>VLOOKUP($A74,'Pre-Assessment Estimator'!$A$10:$Z$225,F$2,FALSE)</f>
        <v>1</v>
      </c>
      <c r="G74" s="580" t="str">
        <f>IF(VLOOKUP($A74,'Pre-Assessment Estimator'!$A$10:$Z$225,G$2,FALSE)=0,"",VLOOKUP($A74,'Pre-Assessment Estimator'!$A$10:$Z$225,G$2,FALSE))</f>
        <v/>
      </c>
      <c r="H74" s="1222">
        <f>VLOOKUP($A74,'Pre-Assessment Estimator'!$A$10:$Z$225,H$2,FALSE)</f>
        <v>0</v>
      </c>
      <c r="I74" s="576" t="str">
        <f>VLOOKUP($A74,'Pre-Assessment Estimator'!$A$10:$Z$225,I$2,FALSE)</f>
        <v>N/A</v>
      </c>
      <c r="J74" s="577" t="str">
        <f>IF(VLOOKUP($A74,'Pre-Assessment Estimator'!$A$10:$Z$225,J$2,FALSE)=0,"",VLOOKUP($A74,'Pre-Assessment Estimator'!$A$10:$Z$225,J$2,FALSE))</f>
        <v/>
      </c>
      <c r="K74" s="577" t="str">
        <f>IF(VLOOKUP($A74,'Pre-Assessment Estimator'!$A$10:$Z$225,K$2,FALSE)=0,"",VLOOKUP($A74,'Pre-Assessment Estimator'!$A$10:$Z$225,K$2,FALSE))</f>
        <v/>
      </c>
      <c r="L74" s="578" t="str">
        <f>IF(VLOOKUP($A74,'Pre-Assessment Estimator'!$A$10:$Z$225,L$2,FALSE)=0,"",VLOOKUP($A74,'Pre-Assessment Estimator'!$A$10:$Z$225,L$2,FALSE))</f>
        <v/>
      </c>
      <c r="M74" s="579"/>
      <c r="N74" s="580" t="str">
        <f>IF(VLOOKUP($A74,'Pre-Assessment Estimator'!$A$10:$Z$225,N$2,FALSE)=0,"",VLOOKUP($A74,'Pre-Assessment Estimator'!$A$10:$Z$225,N$2,FALSE))</f>
        <v/>
      </c>
      <c r="O74" s="575">
        <f>VLOOKUP($A74,'Pre-Assessment Estimator'!$A$10:$Z$225,O$2,FALSE)</f>
        <v>0</v>
      </c>
      <c r="P74" s="574" t="str">
        <f>VLOOKUP($A74,'Pre-Assessment Estimator'!$A$10:$Z$225,P$2,FALSE)</f>
        <v>N/A</v>
      </c>
      <c r="Q74" s="577" t="str">
        <f>IF(VLOOKUP($A74,'Pre-Assessment Estimator'!$A$10:$Z$225,Q$2,FALSE)=0,"",VLOOKUP($A74,'Pre-Assessment Estimator'!$A$10:$Z$225,Q$2,FALSE))</f>
        <v/>
      </c>
      <c r="R74" s="577" t="str">
        <f>IF(VLOOKUP($A74,'Pre-Assessment Estimator'!$A$10:$Z$225,R$2,FALSE)=0,"",VLOOKUP($A74,'Pre-Assessment Estimator'!$A$10:$Z$225,R$2,FALSE))</f>
        <v/>
      </c>
      <c r="S74" s="578" t="str">
        <f>IF(VLOOKUP($A74,'Pre-Assessment Estimator'!$A$10:$Z$225,S$2,FALSE)=0,"",VLOOKUP($A74,'Pre-Assessment Estimator'!$A$10:$Z$225,S$2,FALSE))</f>
        <v/>
      </c>
      <c r="T74" s="581"/>
      <c r="U74" s="580" t="str">
        <f>IF(VLOOKUP($A74,'Pre-Assessment Estimator'!$A$10:$Z$225,U$2,FALSE)=0,"",VLOOKUP($A74,'Pre-Assessment Estimator'!$A$10:$Z$225,U$2,FALSE))</f>
        <v/>
      </c>
      <c r="V74" s="575">
        <f>VLOOKUP($A74,'Pre-Assessment Estimator'!$A$10:$Z$225,V$2,FALSE)</f>
        <v>0</v>
      </c>
      <c r="W74" s="574" t="str">
        <f>VLOOKUP($A74,'Pre-Assessment Estimator'!$A$10:$Z$225,W$2,FALSE)</f>
        <v>N/A</v>
      </c>
      <c r="X74" s="577" t="str">
        <f>IF(VLOOKUP($A74,'Pre-Assessment Estimator'!$A$10:$Z$225,X$2,FALSE)=0,"",VLOOKUP($A74,'Pre-Assessment Estimator'!$A$10:$Z$225,X$2,FALSE))</f>
        <v/>
      </c>
      <c r="Y74" s="577" t="str">
        <f>IF(VLOOKUP($A74,'Pre-Assessment Estimator'!$A$10:$Z$225,Y$2,FALSE)=0,"",VLOOKUP($A74,'Pre-Assessment Estimator'!$A$10:$Z$225,Y$2,FALSE))</f>
        <v/>
      </c>
      <c r="Z74" s="370" t="str">
        <f>IF(VLOOKUP($A74,'Pre-Assessment Estimator'!$A$10:$Z$225,Z$2,FALSE)=0,"",VLOOKUP($A74,'Pre-Assessment Estimator'!$A$10:$Z$225,Z$2,FALSE))</f>
        <v/>
      </c>
      <c r="AA74" s="696">
        <v>64</v>
      </c>
      <c r="AB74" s="577"/>
      <c r="AF74" s="386">
        <f t="shared" si="0"/>
        <v>1</v>
      </c>
    </row>
    <row r="75" spans="1:32" x14ac:dyDescent="0.25">
      <c r="A75" s="823">
        <v>66</v>
      </c>
      <c r="B75" s="1236" t="s">
        <v>67</v>
      </c>
      <c r="C75" s="1236"/>
      <c r="D75" s="1259" t="str">
        <f>VLOOKUP($A75,'Pre-Assessment Estimator'!$A$10:$Z$225,D$2,FALSE)</f>
        <v>Ene 02</v>
      </c>
      <c r="E75" s="1260" t="str">
        <f>VLOOKUP($A75,'Pre-Assessment Estimator'!$A$10:$Z$225,E$2,FALSE)</f>
        <v xml:space="preserve">Sub-metering of high energy load and tenancy areas </v>
      </c>
      <c r="F75" s="574">
        <f>VLOOKUP($A75,'Pre-Assessment Estimator'!$A$10:$Z$225,F$2,FALSE)</f>
        <v>1</v>
      </c>
      <c r="G75" s="580" t="str">
        <f>IF(VLOOKUP($A75,'Pre-Assessment Estimator'!$A$10:$Z$225,G$2,FALSE)=0,"",VLOOKUP($A75,'Pre-Assessment Estimator'!$A$10:$Z$225,G$2,FALSE))</f>
        <v/>
      </c>
      <c r="H75" s="1222">
        <f>VLOOKUP($A75,'Pre-Assessment Estimator'!$A$10:$Z$225,H$2,FALSE)</f>
        <v>0</v>
      </c>
      <c r="I75" s="576" t="str">
        <f>VLOOKUP($A75,'Pre-Assessment Estimator'!$A$10:$Z$225,I$2,FALSE)</f>
        <v>N/A</v>
      </c>
      <c r="J75" s="577" t="str">
        <f>IF(VLOOKUP($A75,'Pre-Assessment Estimator'!$A$10:$Z$225,J$2,FALSE)=0,"",VLOOKUP($A75,'Pre-Assessment Estimator'!$A$10:$Z$225,J$2,FALSE))</f>
        <v/>
      </c>
      <c r="K75" s="577" t="str">
        <f>IF(VLOOKUP($A75,'Pre-Assessment Estimator'!$A$10:$Z$225,K$2,FALSE)=0,"",VLOOKUP($A75,'Pre-Assessment Estimator'!$A$10:$Z$225,K$2,FALSE))</f>
        <v/>
      </c>
      <c r="L75" s="578" t="str">
        <f>IF(VLOOKUP($A75,'Pre-Assessment Estimator'!$A$10:$Z$225,L$2,FALSE)=0,"",VLOOKUP($A75,'Pre-Assessment Estimator'!$A$10:$Z$225,L$2,FALSE))</f>
        <v/>
      </c>
      <c r="M75" s="579"/>
      <c r="N75" s="580" t="str">
        <f>IF(VLOOKUP($A75,'Pre-Assessment Estimator'!$A$10:$Z$225,N$2,FALSE)=0,"",VLOOKUP($A75,'Pre-Assessment Estimator'!$A$10:$Z$225,N$2,FALSE))</f>
        <v/>
      </c>
      <c r="O75" s="575">
        <f>VLOOKUP($A75,'Pre-Assessment Estimator'!$A$10:$Z$225,O$2,FALSE)</f>
        <v>0</v>
      </c>
      <c r="P75" s="574" t="str">
        <f>VLOOKUP($A75,'Pre-Assessment Estimator'!$A$10:$Z$225,P$2,FALSE)</f>
        <v>N/A</v>
      </c>
      <c r="Q75" s="577" t="str">
        <f>IF(VLOOKUP($A75,'Pre-Assessment Estimator'!$A$10:$Z$225,Q$2,FALSE)=0,"",VLOOKUP($A75,'Pre-Assessment Estimator'!$A$10:$Z$225,Q$2,FALSE))</f>
        <v/>
      </c>
      <c r="R75" s="577" t="str">
        <f>IF(VLOOKUP($A75,'Pre-Assessment Estimator'!$A$10:$Z$225,R$2,FALSE)=0,"",VLOOKUP($A75,'Pre-Assessment Estimator'!$A$10:$Z$225,R$2,FALSE))</f>
        <v/>
      </c>
      <c r="S75" s="578" t="str">
        <f>IF(VLOOKUP($A75,'Pre-Assessment Estimator'!$A$10:$Z$225,S$2,FALSE)=0,"",VLOOKUP($A75,'Pre-Assessment Estimator'!$A$10:$Z$225,S$2,FALSE))</f>
        <v/>
      </c>
      <c r="T75" s="581"/>
      <c r="U75" s="580" t="str">
        <f>IF(VLOOKUP($A75,'Pre-Assessment Estimator'!$A$10:$Z$225,U$2,FALSE)=0,"",VLOOKUP($A75,'Pre-Assessment Estimator'!$A$10:$Z$225,U$2,FALSE))</f>
        <v/>
      </c>
      <c r="V75" s="575">
        <f>VLOOKUP($A75,'Pre-Assessment Estimator'!$A$10:$Z$225,V$2,FALSE)</f>
        <v>0</v>
      </c>
      <c r="W75" s="574" t="str">
        <f>VLOOKUP($A75,'Pre-Assessment Estimator'!$A$10:$Z$225,W$2,FALSE)</f>
        <v>N/A</v>
      </c>
      <c r="X75" s="577" t="str">
        <f>IF(VLOOKUP($A75,'Pre-Assessment Estimator'!$A$10:$Z$225,X$2,FALSE)=0,"",VLOOKUP($A75,'Pre-Assessment Estimator'!$A$10:$Z$225,X$2,FALSE))</f>
        <v/>
      </c>
      <c r="Y75" s="577" t="str">
        <f>IF(VLOOKUP($A75,'Pre-Assessment Estimator'!$A$10:$Z$225,Y$2,FALSE)=0,"",VLOOKUP($A75,'Pre-Assessment Estimator'!$A$10:$Z$225,Y$2,FALSE))</f>
        <v/>
      </c>
      <c r="Z75" s="370" t="str">
        <f>IF(VLOOKUP($A75,'Pre-Assessment Estimator'!$A$10:$Z$225,Z$2,FALSE)=0,"",VLOOKUP($A75,'Pre-Assessment Estimator'!$A$10:$Z$225,Z$2,FALSE))</f>
        <v/>
      </c>
      <c r="AA75" s="696">
        <v>65</v>
      </c>
      <c r="AB75" s="577"/>
      <c r="AF75" s="386">
        <f t="shared" si="0"/>
        <v>1</v>
      </c>
    </row>
    <row r="76" spans="1:32" x14ac:dyDescent="0.25">
      <c r="A76" s="823">
        <v>67</v>
      </c>
      <c r="B76" s="1236" t="s">
        <v>67</v>
      </c>
      <c r="C76" s="1236"/>
      <c r="D76" s="1259" t="str">
        <f>VLOOKUP($A76,'Pre-Assessment Estimator'!$A$10:$Z$225,D$2,FALSE)</f>
        <v>Ene 02</v>
      </c>
      <c r="E76" s="1260" t="str">
        <f>VLOOKUP($A76,'Pre-Assessment Estimator'!$A$10:$Z$225,E$2,FALSE)</f>
        <v xml:space="preserve">Sub-metering of energy consumption in residential buildings </v>
      </c>
      <c r="F76" s="574">
        <f>VLOOKUP($A76,'Pre-Assessment Estimator'!$A$10:$Z$225,F$2,FALSE)</f>
        <v>0</v>
      </c>
      <c r="G76" s="580" t="str">
        <f>IF(VLOOKUP($A76,'Pre-Assessment Estimator'!$A$10:$Z$225,G$2,FALSE)=0,"",VLOOKUP($A76,'Pre-Assessment Estimator'!$A$10:$Z$225,G$2,FALSE))</f>
        <v/>
      </c>
      <c r="H76" s="1222">
        <f>VLOOKUP($A76,'Pre-Assessment Estimator'!$A$10:$Z$225,H$2,FALSE)</f>
        <v>0</v>
      </c>
      <c r="I76" s="576" t="str">
        <f>VLOOKUP($A76,'Pre-Assessment Estimator'!$A$10:$Z$225,I$2,FALSE)</f>
        <v>N/A</v>
      </c>
      <c r="J76" s="577" t="str">
        <f>IF(VLOOKUP($A76,'Pre-Assessment Estimator'!$A$10:$Z$225,J$2,FALSE)=0,"",VLOOKUP($A76,'Pre-Assessment Estimator'!$A$10:$Z$225,J$2,FALSE))</f>
        <v/>
      </c>
      <c r="K76" s="577" t="str">
        <f>IF(VLOOKUP($A76,'Pre-Assessment Estimator'!$A$10:$Z$225,K$2,FALSE)=0,"",VLOOKUP($A76,'Pre-Assessment Estimator'!$A$10:$Z$225,K$2,FALSE))</f>
        <v/>
      </c>
      <c r="L76" s="578" t="str">
        <f>IF(VLOOKUP($A76,'Pre-Assessment Estimator'!$A$10:$Z$225,L$2,FALSE)=0,"",VLOOKUP($A76,'Pre-Assessment Estimator'!$A$10:$Z$225,L$2,FALSE))</f>
        <v/>
      </c>
      <c r="M76" s="579"/>
      <c r="N76" s="580" t="str">
        <f>IF(VLOOKUP($A76,'Pre-Assessment Estimator'!$A$10:$Z$225,N$2,FALSE)=0,"",VLOOKUP($A76,'Pre-Assessment Estimator'!$A$10:$Z$225,N$2,FALSE))</f>
        <v/>
      </c>
      <c r="O76" s="575">
        <f>VLOOKUP($A76,'Pre-Assessment Estimator'!$A$10:$Z$225,O$2,FALSE)</f>
        <v>0</v>
      </c>
      <c r="P76" s="574" t="str">
        <f>VLOOKUP($A76,'Pre-Assessment Estimator'!$A$10:$Z$225,P$2,FALSE)</f>
        <v>N/A</v>
      </c>
      <c r="Q76" s="577" t="str">
        <f>IF(VLOOKUP($A76,'Pre-Assessment Estimator'!$A$10:$Z$225,Q$2,FALSE)=0,"",VLOOKUP($A76,'Pre-Assessment Estimator'!$A$10:$Z$225,Q$2,FALSE))</f>
        <v/>
      </c>
      <c r="R76" s="577" t="str">
        <f>IF(VLOOKUP($A76,'Pre-Assessment Estimator'!$A$10:$Z$225,R$2,FALSE)=0,"",VLOOKUP($A76,'Pre-Assessment Estimator'!$A$10:$Z$225,R$2,FALSE))</f>
        <v/>
      </c>
      <c r="S76" s="578" t="str">
        <f>IF(VLOOKUP($A76,'Pre-Assessment Estimator'!$A$10:$Z$225,S$2,FALSE)=0,"",VLOOKUP($A76,'Pre-Assessment Estimator'!$A$10:$Z$225,S$2,FALSE))</f>
        <v/>
      </c>
      <c r="T76" s="581"/>
      <c r="U76" s="580" t="str">
        <f>IF(VLOOKUP($A76,'Pre-Assessment Estimator'!$A$10:$Z$225,U$2,FALSE)=0,"",VLOOKUP($A76,'Pre-Assessment Estimator'!$A$10:$Z$225,U$2,FALSE))</f>
        <v/>
      </c>
      <c r="V76" s="575">
        <f>VLOOKUP($A76,'Pre-Assessment Estimator'!$A$10:$Z$225,V$2,FALSE)</f>
        <v>0</v>
      </c>
      <c r="W76" s="574" t="str">
        <f>VLOOKUP($A76,'Pre-Assessment Estimator'!$A$10:$Z$225,W$2,FALSE)</f>
        <v>N/A</v>
      </c>
      <c r="X76" s="577" t="str">
        <f>IF(VLOOKUP($A76,'Pre-Assessment Estimator'!$A$10:$Z$225,X$2,FALSE)=0,"",VLOOKUP($A76,'Pre-Assessment Estimator'!$A$10:$Z$225,X$2,FALSE))</f>
        <v/>
      </c>
      <c r="Y76" s="577" t="str">
        <f>IF(VLOOKUP($A76,'Pre-Assessment Estimator'!$A$10:$Z$225,Y$2,FALSE)=0,"",VLOOKUP($A76,'Pre-Assessment Estimator'!$A$10:$Z$225,Y$2,FALSE))</f>
        <v/>
      </c>
      <c r="Z76" s="370" t="str">
        <f>IF(VLOOKUP($A76,'Pre-Assessment Estimator'!$A$10:$Z$225,Z$2,FALSE)=0,"",VLOOKUP($A76,'Pre-Assessment Estimator'!$A$10:$Z$225,Z$2,FALSE))</f>
        <v/>
      </c>
      <c r="AA76" s="696">
        <v>66</v>
      </c>
      <c r="AB76" s="577"/>
      <c r="AF76" s="386">
        <f t="shared" si="0"/>
        <v>2</v>
      </c>
    </row>
    <row r="77" spans="1:32" x14ac:dyDescent="0.25">
      <c r="A77" s="823">
        <v>68</v>
      </c>
      <c r="B77" s="1236" t="s">
        <v>67</v>
      </c>
      <c r="C77" s="1236"/>
      <c r="D77" s="1258" t="str">
        <f>VLOOKUP($A77,'Pre-Assessment Estimator'!$A$10:$Z$225,D$2,FALSE)</f>
        <v>Ene 03</v>
      </c>
      <c r="E77" s="1258" t="str">
        <f>VLOOKUP($A77,'Pre-Assessment Estimator'!$A$10:$Z$225,E$2,FALSE)</f>
        <v>Ene 03 External lighting</v>
      </c>
      <c r="F77" s="574">
        <f>VLOOKUP($A77,'Pre-Assessment Estimator'!$A$10:$Z$225,F$2,FALSE)</f>
        <v>1</v>
      </c>
      <c r="G77" s="580" t="str">
        <f>IF(VLOOKUP($A77,'Pre-Assessment Estimator'!$A$10:$Z$225,G$2,FALSE)=0,"",VLOOKUP($A77,'Pre-Assessment Estimator'!$A$10:$Z$225,G$2,FALSE))</f>
        <v/>
      </c>
      <c r="H77" s="1222" t="str">
        <f>VLOOKUP($A77,'Pre-Assessment Estimator'!$A$10:$Z$225,H$2,FALSE)</f>
        <v>0 c. 0 %</v>
      </c>
      <c r="I77" s="576" t="str">
        <f>VLOOKUP($A77,'Pre-Assessment Estimator'!$A$10:$Z$225,I$2,FALSE)</f>
        <v>N/A</v>
      </c>
      <c r="J77" s="577" t="str">
        <f>IF(VLOOKUP($A77,'Pre-Assessment Estimator'!$A$10:$Z$225,J$2,FALSE)=0,"",VLOOKUP($A77,'Pre-Assessment Estimator'!$A$10:$Z$225,J$2,FALSE))</f>
        <v/>
      </c>
      <c r="K77" s="577" t="str">
        <f>IF(VLOOKUP($A77,'Pre-Assessment Estimator'!$A$10:$Z$225,K$2,FALSE)=0,"",VLOOKUP($A77,'Pre-Assessment Estimator'!$A$10:$Z$225,K$2,FALSE))</f>
        <v/>
      </c>
      <c r="L77" s="578" t="str">
        <f>IF(VLOOKUP($A77,'Pre-Assessment Estimator'!$A$10:$Z$225,L$2,FALSE)=0,"",VLOOKUP($A77,'Pre-Assessment Estimator'!$A$10:$Z$225,L$2,FALSE))</f>
        <v/>
      </c>
      <c r="M77" s="579"/>
      <c r="N77" s="580" t="str">
        <f>IF(VLOOKUP($A77,'Pre-Assessment Estimator'!$A$10:$Z$225,N$2,FALSE)=0,"",VLOOKUP($A77,'Pre-Assessment Estimator'!$A$10:$Z$225,N$2,FALSE))</f>
        <v/>
      </c>
      <c r="O77" s="575" t="str">
        <f>VLOOKUP($A77,'Pre-Assessment Estimator'!$A$10:$Z$225,O$2,FALSE)</f>
        <v>0 c. 0 %</v>
      </c>
      <c r="P77" s="574" t="str">
        <f>VLOOKUP($A77,'Pre-Assessment Estimator'!$A$10:$Z$225,P$2,FALSE)</f>
        <v>N/A</v>
      </c>
      <c r="Q77" s="577" t="str">
        <f>IF(VLOOKUP($A77,'Pre-Assessment Estimator'!$A$10:$Z$225,Q$2,FALSE)=0,"",VLOOKUP($A77,'Pre-Assessment Estimator'!$A$10:$Z$225,Q$2,FALSE))</f>
        <v/>
      </c>
      <c r="R77" s="577" t="str">
        <f>IF(VLOOKUP($A77,'Pre-Assessment Estimator'!$A$10:$Z$225,R$2,FALSE)=0,"",VLOOKUP($A77,'Pre-Assessment Estimator'!$A$10:$Z$225,R$2,FALSE))</f>
        <v/>
      </c>
      <c r="S77" s="578" t="str">
        <f>IF(VLOOKUP($A77,'Pre-Assessment Estimator'!$A$10:$Z$225,S$2,FALSE)=0,"",VLOOKUP($A77,'Pre-Assessment Estimator'!$A$10:$Z$225,S$2,FALSE))</f>
        <v/>
      </c>
      <c r="T77" s="581"/>
      <c r="U77" s="580" t="str">
        <f>IF(VLOOKUP($A77,'Pre-Assessment Estimator'!$A$10:$Z$225,U$2,FALSE)=0,"",VLOOKUP($A77,'Pre-Assessment Estimator'!$A$10:$Z$225,U$2,FALSE))</f>
        <v/>
      </c>
      <c r="V77" s="575" t="str">
        <f>VLOOKUP($A77,'Pre-Assessment Estimator'!$A$10:$Z$225,V$2,FALSE)</f>
        <v>0 c. 0 %</v>
      </c>
      <c r="W77" s="574" t="str">
        <f>VLOOKUP($A77,'Pre-Assessment Estimator'!$A$10:$Z$225,W$2,FALSE)</f>
        <v>N/A</v>
      </c>
      <c r="X77" s="577" t="str">
        <f>IF(VLOOKUP($A77,'Pre-Assessment Estimator'!$A$10:$Z$225,X$2,FALSE)=0,"",VLOOKUP($A77,'Pre-Assessment Estimator'!$A$10:$Z$225,X$2,FALSE))</f>
        <v/>
      </c>
      <c r="Y77" s="577" t="str">
        <f>IF(VLOOKUP($A77,'Pre-Assessment Estimator'!$A$10:$Z$225,Y$2,FALSE)=0,"",VLOOKUP($A77,'Pre-Assessment Estimator'!$A$10:$Z$225,Y$2,FALSE))</f>
        <v/>
      </c>
      <c r="Z77" s="370" t="str">
        <f>IF(VLOOKUP($A77,'Pre-Assessment Estimator'!$A$10:$Z$225,Z$2,FALSE)=0,"",VLOOKUP($A77,'Pre-Assessment Estimator'!$A$10:$Z$225,Z$2,FALSE))</f>
        <v/>
      </c>
      <c r="AA77" s="696">
        <v>67</v>
      </c>
      <c r="AB77" s="577"/>
      <c r="AF77" s="386">
        <f t="shared" si="0"/>
        <v>1</v>
      </c>
    </row>
    <row r="78" spans="1:32" x14ac:dyDescent="0.25">
      <c r="A78" s="823">
        <v>69</v>
      </c>
      <c r="B78" s="1236" t="s">
        <v>67</v>
      </c>
      <c r="C78" s="1236"/>
      <c r="D78" s="1259" t="str">
        <f>VLOOKUP($A78,'Pre-Assessment Estimator'!$A$10:$Z$225,D$2,FALSE)</f>
        <v>Ene 03</v>
      </c>
      <c r="E78" s="1260" t="str">
        <f>VLOOKUP($A78,'Pre-Assessment Estimator'!$A$10:$Z$225,E$2,FALSE)</f>
        <v>No external lighting within the construction zone</v>
      </c>
      <c r="F78" s="574">
        <f>VLOOKUP($A78,'Pre-Assessment Estimator'!$A$10:$Z$225,F$2,FALSE)</f>
        <v>1</v>
      </c>
      <c r="G78" s="580" t="str">
        <f>IF(VLOOKUP($A78,'Pre-Assessment Estimator'!$A$10:$Z$225,G$2,FALSE)=0,"",VLOOKUP($A78,'Pre-Assessment Estimator'!$A$10:$Z$225,G$2,FALSE))</f>
        <v/>
      </c>
      <c r="H78" s="1222">
        <f>VLOOKUP($A78,'Pre-Assessment Estimator'!$A$10:$Z$225,H$2,FALSE)</f>
        <v>0</v>
      </c>
      <c r="I78" s="576" t="str">
        <f>VLOOKUP($A78,'Pre-Assessment Estimator'!$A$10:$Z$225,I$2,FALSE)</f>
        <v>N/A</v>
      </c>
      <c r="J78" s="577" t="str">
        <f>IF(VLOOKUP($A78,'Pre-Assessment Estimator'!$A$10:$Z$225,J$2,FALSE)=0,"",VLOOKUP($A78,'Pre-Assessment Estimator'!$A$10:$Z$225,J$2,FALSE))</f>
        <v/>
      </c>
      <c r="K78" s="577" t="str">
        <f>IF(VLOOKUP($A78,'Pre-Assessment Estimator'!$A$10:$Z$225,K$2,FALSE)=0,"",VLOOKUP($A78,'Pre-Assessment Estimator'!$A$10:$Z$225,K$2,FALSE))</f>
        <v/>
      </c>
      <c r="L78" s="578" t="str">
        <f>IF(VLOOKUP($A78,'Pre-Assessment Estimator'!$A$10:$Z$225,L$2,FALSE)=0,"",VLOOKUP($A78,'Pre-Assessment Estimator'!$A$10:$Z$225,L$2,FALSE))</f>
        <v/>
      </c>
      <c r="M78" s="579"/>
      <c r="N78" s="580" t="str">
        <f>IF(VLOOKUP($A78,'Pre-Assessment Estimator'!$A$10:$Z$225,N$2,FALSE)=0,"",VLOOKUP($A78,'Pre-Assessment Estimator'!$A$10:$Z$225,N$2,FALSE))</f>
        <v/>
      </c>
      <c r="O78" s="575">
        <f>VLOOKUP($A78,'Pre-Assessment Estimator'!$A$10:$Z$225,O$2,FALSE)</f>
        <v>0</v>
      </c>
      <c r="P78" s="574" t="str">
        <f>VLOOKUP($A78,'Pre-Assessment Estimator'!$A$10:$Z$225,P$2,FALSE)</f>
        <v>N/A</v>
      </c>
      <c r="Q78" s="577" t="str">
        <f>IF(VLOOKUP($A78,'Pre-Assessment Estimator'!$A$10:$Z$225,Q$2,FALSE)=0,"",VLOOKUP($A78,'Pre-Assessment Estimator'!$A$10:$Z$225,Q$2,FALSE))</f>
        <v/>
      </c>
      <c r="R78" s="577" t="str">
        <f>IF(VLOOKUP($A78,'Pre-Assessment Estimator'!$A$10:$Z$225,R$2,FALSE)=0,"",VLOOKUP($A78,'Pre-Assessment Estimator'!$A$10:$Z$225,R$2,FALSE))</f>
        <v/>
      </c>
      <c r="S78" s="578" t="str">
        <f>IF(VLOOKUP($A78,'Pre-Assessment Estimator'!$A$10:$Z$225,S$2,FALSE)=0,"",VLOOKUP($A78,'Pre-Assessment Estimator'!$A$10:$Z$225,S$2,FALSE))</f>
        <v/>
      </c>
      <c r="T78" s="581"/>
      <c r="U78" s="580" t="str">
        <f>IF(VLOOKUP($A78,'Pre-Assessment Estimator'!$A$10:$Z$225,U$2,FALSE)=0,"",VLOOKUP($A78,'Pre-Assessment Estimator'!$A$10:$Z$225,U$2,FALSE))</f>
        <v/>
      </c>
      <c r="V78" s="575">
        <f>VLOOKUP($A78,'Pre-Assessment Estimator'!$A$10:$Z$225,V$2,FALSE)</f>
        <v>0</v>
      </c>
      <c r="W78" s="574" t="str">
        <f>VLOOKUP($A78,'Pre-Assessment Estimator'!$A$10:$Z$225,W$2,FALSE)</f>
        <v>N/A</v>
      </c>
      <c r="X78" s="577" t="str">
        <f>IF(VLOOKUP($A78,'Pre-Assessment Estimator'!$A$10:$Z$225,X$2,FALSE)=0,"",VLOOKUP($A78,'Pre-Assessment Estimator'!$A$10:$Z$225,X$2,FALSE))</f>
        <v/>
      </c>
      <c r="Y78" s="577" t="str">
        <f>IF(VLOOKUP($A78,'Pre-Assessment Estimator'!$A$10:$Z$225,Y$2,FALSE)=0,"",VLOOKUP($A78,'Pre-Assessment Estimator'!$A$10:$Z$225,Y$2,FALSE))</f>
        <v/>
      </c>
      <c r="Z78" s="370" t="str">
        <f>IF(VLOOKUP($A78,'Pre-Assessment Estimator'!$A$10:$Z$225,Z$2,FALSE)=0,"",VLOOKUP($A78,'Pre-Assessment Estimator'!$A$10:$Z$225,Z$2,FALSE))</f>
        <v/>
      </c>
      <c r="AA78" s="696">
        <v>68</v>
      </c>
      <c r="AB78" s="577"/>
      <c r="AF78" s="386">
        <f t="shared" si="0"/>
        <v>1</v>
      </c>
    </row>
    <row r="79" spans="1:32" x14ac:dyDescent="0.25">
      <c r="A79" s="823">
        <v>70</v>
      </c>
      <c r="B79" s="1236" t="s">
        <v>67</v>
      </c>
      <c r="C79" s="1236"/>
      <c r="D79" s="1259" t="str">
        <f>VLOOKUP($A79,'Pre-Assessment Estimator'!$A$10:$Z$225,D$2,FALSE)</f>
        <v>Ene 03</v>
      </c>
      <c r="E79" s="1260" t="str">
        <f>VLOOKUP($A79,'Pre-Assessment Estimator'!$A$10:$Z$225,E$2,FALSE)</f>
        <v>External lighting within the construction zone</v>
      </c>
      <c r="F79" s="574">
        <f>VLOOKUP($A79,'Pre-Assessment Estimator'!$A$10:$Z$225,F$2,FALSE)</f>
        <v>0</v>
      </c>
      <c r="G79" s="580" t="str">
        <f>IF(VLOOKUP($A79,'Pre-Assessment Estimator'!$A$10:$Z$225,G$2,FALSE)=0,"",VLOOKUP($A79,'Pre-Assessment Estimator'!$A$10:$Z$225,G$2,FALSE))</f>
        <v/>
      </c>
      <c r="H79" s="1222">
        <f>VLOOKUP($A79,'Pre-Assessment Estimator'!$A$10:$Z$225,H$2,FALSE)</f>
        <v>0</v>
      </c>
      <c r="I79" s="576" t="str">
        <f>VLOOKUP($A79,'Pre-Assessment Estimator'!$A$10:$Z$225,I$2,FALSE)</f>
        <v>N/A</v>
      </c>
      <c r="J79" s="577" t="str">
        <f>IF(VLOOKUP($A79,'Pre-Assessment Estimator'!$A$10:$Z$225,J$2,FALSE)=0,"",VLOOKUP($A79,'Pre-Assessment Estimator'!$A$10:$Z$225,J$2,FALSE))</f>
        <v/>
      </c>
      <c r="K79" s="577" t="str">
        <f>IF(VLOOKUP($A79,'Pre-Assessment Estimator'!$A$10:$Z$225,K$2,FALSE)=0,"",VLOOKUP($A79,'Pre-Assessment Estimator'!$A$10:$Z$225,K$2,FALSE))</f>
        <v/>
      </c>
      <c r="L79" s="578" t="str">
        <f>IF(VLOOKUP($A79,'Pre-Assessment Estimator'!$A$10:$Z$225,L$2,FALSE)=0,"",VLOOKUP($A79,'Pre-Assessment Estimator'!$A$10:$Z$225,L$2,FALSE))</f>
        <v/>
      </c>
      <c r="M79" s="579"/>
      <c r="N79" s="580" t="str">
        <f>IF(VLOOKUP($A79,'Pre-Assessment Estimator'!$A$10:$Z$225,N$2,FALSE)=0,"",VLOOKUP($A79,'Pre-Assessment Estimator'!$A$10:$Z$225,N$2,FALSE))</f>
        <v/>
      </c>
      <c r="O79" s="575">
        <f>VLOOKUP($A79,'Pre-Assessment Estimator'!$A$10:$Z$225,O$2,FALSE)</f>
        <v>0</v>
      </c>
      <c r="P79" s="574" t="str">
        <f>VLOOKUP($A79,'Pre-Assessment Estimator'!$A$10:$Z$225,P$2,FALSE)</f>
        <v>N/A</v>
      </c>
      <c r="Q79" s="577" t="str">
        <f>IF(VLOOKUP($A79,'Pre-Assessment Estimator'!$A$10:$Z$225,Q$2,FALSE)=0,"",VLOOKUP($A79,'Pre-Assessment Estimator'!$A$10:$Z$225,Q$2,FALSE))</f>
        <v/>
      </c>
      <c r="R79" s="577" t="str">
        <f>IF(VLOOKUP($A79,'Pre-Assessment Estimator'!$A$10:$Z$225,R$2,FALSE)=0,"",VLOOKUP($A79,'Pre-Assessment Estimator'!$A$10:$Z$225,R$2,FALSE))</f>
        <v/>
      </c>
      <c r="S79" s="578" t="str">
        <f>IF(VLOOKUP($A79,'Pre-Assessment Estimator'!$A$10:$Z$225,S$2,FALSE)=0,"",VLOOKUP($A79,'Pre-Assessment Estimator'!$A$10:$Z$225,S$2,FALSE))</f>
        <v/>
      </c>
      <c r="T79" s="581"/>
      <c r="U79" s="580" t="str">
        <f>IF(VLOOKUP($A79,'Pre-Assessment Estimator'!$A$10:$Z$225,U$2,FALSE)=0,"",VLOOKUP($A79,'Pre-Assessment Estimator'!$A$10:$Z$225,U$2,FALSE))</f>
        <v/>
      </c>
      <c r="V79" s="575">
        <f>VLOOKUP($A79,'Pre-Assessment Estimator'!$A$10:$Z$225,V$2,FALSE)</f>
        <v>0</v>
      </c>
      <c r="W79" s="574" t="str">
        <f>VLOOKUP($A79,'Pre-Assessment Estimator'!$A$10:$Z$225,W$2,FALSE)</f>
        <v>N/A</v>
      </c>
      <c r="X79" s="577" t="str">
        <f>IF(VLOOKUP($A79,'Pre-Assessment Estimator'!$A$10:$Z$225,X$2,FALSE)=0,"",VLOOKUP($A79,'Pre-Assessment Estimator'!$A$10:$Z$225,X$2,FALSE))</f>
        <v/>
      </c>
      <c r="Y79" s="577" t="str">
        <f>IF(VLOOKUP($A79,'Pre-Assessment Estimator'!$A$10:$Z$225,Y$2,FALSE)=0,"",VLOOKUP($A79,'Pre-Assessment Estimator'!$A$10:$Z$225,Y$2,FALSE))</f>
        <v/>
      </c>
      <c r="Z79" s="370" t="str">
        <f>IF(VLOOKUP($A79,'Pre-Assessment Estimator'!$A$10:$Z$225,Z$2,FALSE)=0,"",VLOOKUP($A79,'Pre-Assessment Estimator'!$A$10:$Z$225,Z$2,FALSE))</f>
        <v/>
      </c>
      <c r="AA79" s="696">
        <v>69</v>
      </c>
      <c r="AB79" s="577"/>
      <c r="AF79" s="386">
        <f t="shared" si="0"/>
        <v>2</v>
      </c>
    </row>
    <row r="80" spans="1:32" x14ac:dyDescent="0.25">
      <c r="A80" s="823">
        <v>71</v>
      </c>
      <c r="B80" s="1236" t="s">
        <v>67</v>
      </c>
      <c r="C80" s="1236"/>
      <c r="D80" s="1258" t="str">
        <f>VLOOKUP($A80,'Pre-Assessment Estimator'!$A$10:$Z$225,D$2,FALSE)</f>
        <v>Ene 05</v>
      </c>
      <c r="E80" s="1258" t="str">
        <f>VLOOKUP($A80,'Pre-Assessment Estimator'!$A$10:$Z$225,E$2,FALSE)</f>
        <v>Ene 05 Energy efficient cold storage</v>
      </c>
      <c r="F80" s="574">
        <f>VLOOKUP($A80,'Pre-Assessment Estimator'!$A$10:$Z$225,F$2,FALSE)</f>
        <v>2</v>
      </c>
      <c r="G80" s="580" t="str">
        <f>IF(VLOOKUP($A80,'Pre-Assessment Estimator'!$A$10:$Z$225,G$2,FALSE)=0,"",VLOOKUP($A80,'Pre-Assessment Estimator'!$A$10:$Z$225,G$2,FALSE))</f>
        <v/>
      </c>
      <c r="H80" s="1222" t="str">
        <f>VLOOKUP($A80,'Pre-Assessment Estimator'!$A$10:$Z$225,H$2,FALSE)</f>
        <v>0 c. 0 %</v>
      </c>
      <c r="I80" s="576" t="str">
        <f>VLOOKUP($A80,'Pre-Assessment Estimator'!$A$10:$Z$225,I$2,FALSE)</f>
        <v>N/A</v>
      </c>
      <c r="J80" s="577" t="str">
        <f>IF(VLOOKUP($A80,'Pre-Assessment Estimator'!$A$10:$Z$225,J$2,FALSE)=0,"",VLOOKUP($A80,'Pre-Assessment Estimator'!$A$10:$Z$225,J$2,FALSE))</f>
        <v/>
      </c>
      <c r="K80" s="577" t="str">
        <f>IF(VLOOKUP($A80,'Pre-Assessment Estimator'!$A$10:$Z$225,K$2,FALSE)=0,"",VLOOKUP($A80,'Pre-Assessment Estimator'!$A$10:$Z$225,K$2,FALSE))</f>
        <v/>
      </c>
      <c r="L80" s="578" t="str">
        <f>IF(VLOOKUP($A80,'Pre-Assessment Estimator'!$A$10:$Z$225,L$2,FALSE)=0,"",VLOOKUP($A80,'Pre-Assessment Estimator'!$A$10:$Z$225,L$2,FALSE))</f>
        <v/>
      </c>
      <c r="M80" s="579"/>
      <c r="N80" s="580" t="str">
        <f>IF(VLOOKUP($A80,'Pre-Assessment Estimator'!$A$10:$Z$225,N$2,FALSE)=0,"",VLOOKUP($A80,'Pre-Assessment Estimator'!$A$10:$Z$225,N$2,FALSE))</f>
        <v/>
      </c>
      <c r="O80" s="575" t="str">
        <f>VLOOKUP($A80,'Pre-Assessment Estimator'!$A$10:$Z$225,O$2,FALSE)</f>
        <v>0 c. 0 %</v>
      </c>
      <c r="P80" s="574" t="str">
        <f>VLOOKUP($A80,'Pre-Assessment Estimator'!$A$10:$Z$225,P$2,FALSE)</f>
        <v>N/A</v>
      </c>
      <c r="Q80" s="577" t="str">
        <f>IF(VLOOKUP($A80,'Pre-Assessment Estimator'!$A$10:$Z$225,Q$2,FALSE)=0,"",VLOOKUP($A80,'Pre-Assessment Estimator'!$A$10:$Z$225,Q$2,FALSE))</f>
        <v/>
      </c>
      <c r="R80" s="577" t="str">
        <f>IF(VLOOKUP($A80,'Pre-Assessment Estimator'!$A$10:$Z$225,R$2,FALSE)=0,"",VLOOKUP($A80,'Pre-Assessment Estimator'!$A$10:$Z$225,R$2,FALSE))</f>
        <v/>
      </c>
      <c r="S80" s="578" t="str">
        <f>IF(VLOOKUP($A80,'Pre-Assessment Estimator'!$A$10:$Z$225,S$2,FALSE)=0,"",VLOOKUP($A80,'Pre-Assessment Estimator'!$A$10:$Z$225,S$2,FALSE))</f>
        <v/>
      </c>
      <c r="T80" s="581"/>
      <c r="U80" s="580" t="str">
        <f>IF(VLOOKUP($A80,'Pre-Assessment Estimator'!$A$10:$Z$225,U$2,FALSE)=0,"",VLOOKUP($A80,'Pre-Assessment Estimator'!$A$10:$Z$225,U$2,FALSE))</f>
        <v/>
      </c>
      <c r="V80" s="575" t="str">
        <f>VLOOKUP($A80,'Pre-Assessment Estimator'!$A$10:$Z$225,V$2,FALSE)</f>
        <v>0 c. 0 %</v>
      </c>
      <c r="W80" s="574" t="str">
        <f>VLOOKUP($A80,'Pre-Assessment Estimator'!$A$10:$Z$225,W$2,FALSE)</f>
        <v>N/A</v>
      </c>
      <c r="X80" s="577" t="str">
        <f>IF(VLOOKUP($A80,'Pre-Assessment Estimator'!$A$10:$Z$225,X$2,FALSE)=0,"",VLOOKUP($A80,'Pre-Assessment Estimator'!$A$10:$Z$225,X$2,FALSE))</f>
        <v/>
      </c>
      <c r="Y80" s="577" t="str">
        <f>IF(VLOOKUP($A80,'Pre-Assessment Estimator'!$A$10:$Z$225,Y$2,FALSE)=0,"",VLOOKUP($A80,'Pre-Assessment Estimator'!$A$10:$Z$225,Y$2,FALSE))</f>
        <v/>
      </c>
      <c r="Z80" s="370" t="str">
        <f>IF(VLOOKUP($A80,'Pre-Assessment Estimator'!$A$10:$Z$225,Z$2,FALSE)=0,"",VLOOKUP($A80,'Pre-Assessment Estimator'!$A$10:$Z$225,Z$2,FALSE))</f>
        <v/>
      </c>
      <c r="AA80" s="696">
        <v>70</v>
      </c>
      <c r="AB80" s="577"/>
      <c r="AF80" s="386">
        <f t="shared" si="0"/>
        <v>1</v>
      </c>
    </row>
    <row r="81" spans="1:32" x14ac:dyDescent="0.25">
      <c r="A81" s="823">
        <v>72</v>
      </c>
      <c r="B81" s="1236" t="s">
        <v>67</v>
      </c>
      <c r="C81" s="1236"/>
      <c r="D81" s="1259" t="str">
        <f>VLOOKUP($A81,'Pre-Assessment Estimator'!$A$10:$Z$225,D$2,FALSE)</f>
        <v>Ene 05</v>
      </c>
      <c r="E81" s="1260" t="str">
        <f>VLOOKUP($A81,'Pre-Assessment Estimator'!$A$10:$Z$225,E$2,FALSE)</f>
        <v xml:space="preserve">Design of energy efficient refrigeration- and freezing room </v>
      </c>
      <c r="F81" s="574">
        <f>VLOOKUP($A81,'Pre-Assessment Estimator'!$A$10:$Z$225,F$2,FALSE)</f>
        <v>1</v>
      </c>
      <c r="G81" s="580" t="str">
        <f>IF(VLOOKUP($A81,'Pre-Assessment Estimator'!$A$10:$Z$225,G$2,FALSE)=0,"",VLOOKUP($A81,'Pre-Assessment Estimator'!$A$10:$Z$225,G$2,FALSE))</f>
        <v/>
      </c>
      <c r="H81" s="1222">
        <f>VLOOKUP($A81,'Pre-Assessment Estimator'!$A$10:$Z$225,H$2,FALSE)</f>
        <v>0</v>
      </c>
      <c r="I81" s="576" t="str">
        <f>VLOOKUP($A81,'Pre-Assessment Estimator'!$A$10:$Z$225,I$2,FALSE)</f>
        <v>N/A</v>
      </c>
      <c r="J81" s="577" t="str">
        <f>IF(VLOOKUP($A81,'Pre-Assessment Estimator'!$A$10:$Z$225,J$2,FALSE)=0,"",VLOOKUP($A81,'Pre-Assessment Estimator'!$A$10:$Z$225,J$2,FALSE))</f>
        <v/>
      </c>
      <c r="K81" s="577" t="str">
        <f>IF(VLOOKUP($A81,'Pre-Assessment Estimator'!$A$10:$Z$225,K$2,FALSE)=0,"",VLOOKUP($A81,'Pre-Assessment Estimator'!$A$10:$Z$225,K$2,FALSE))</f>
        <v/>
      </c>
      <c r="L81" s="578" t="str">
        <f>IF(VLOOKUP($A81,'Pre-Assessment Estimator'!$A$10:$Z$225,L$2,FALSE)=0,"",VLOOKUP($A81,'Pre-Assessment Estimator'!$A$10:$Z$225,L$2,FALSE))</f>
        <v/>
      </c>
      <c r="M81" s="579"/>
      <c r="N81" s="580" t="str">
        <f>IF(VLOOKUP($A81,'Pre-Assessment Estimator'!$A$10:$Z$225,N$2,FALSE)=0,"",VLOOKUP($A81,'Pre-Assessment Estimator'!$A$10:$Z$225,N$2,FALSE))</f>
        <v/>
      </c>
      <c r="O81" s="575">
        <f>VLOOKUP($A81,'Pre-Assessment Estimator'!$A$10:$Z$225,O$2,FALSE)</f>
        <v>0</v>
      </c>
      <c r="P81" s="574" t="str">
        <f>VLOOKUP($A81,'Pre-Assessment Estimator'!$A$10:$Z$225,P$2,FALSE)</f>
        <v>N/A</v>
      </c>
      <c r="Q81" s="577" t="str">
        <f>IF(VLOOKUP($A81,'Pre-Assessment Estimator'!$A$10:$Z$225,Q$2,FALSE)=0,"",VLOOKUP($A81,'Pre-Assessment Estimator'!$A$10:$Z$225,Q$2,FALSE))</f>
        <v/>
      </c>
      <c r="R81" s="577" t="str">
        <f>IF(VLOOKUP($A81,'Pre-Assessment Estimator'!$A$10:$Z$225,R$2,FALSE)=0,"",VLOOKUP($A81,'Pre-Assessment Estimator'!$A$10:$Z$225,R$2,FALSE))</f>
        <v/>
      </c>
      <c r="S81" s="578" t="str">
        <f>IF(VLOOKUP($A81,'Pre-Assessment Estimator'!$A$10:$Z$225,S$2,FALSE)=0,"",VLOOKUP($A81,'Pre-Assessment Estimator'!$A$10:$Z$225,S$2,FALSE))</f>
        <v/>
      </c>
      <c r="T81" s="581"/>
      <c r="U81" s="580" t="str">
        <f>IF(VLOOKUP($A81,'Pre-Assessment Estimator'!$A$10:$Z$225,U$2,FALSE)=0,"",VLOOKUP($A81,'Pre-Assessment Estimator'!$A$10:$Z$225,U$2,FALSE))</f>
        <v/>
      </c>
      <c r="V81" s="575">
        <f>VLOOKUP($A81,'Pre-Assessment Estimator'!$A$10:$Z$225,V$2,FALSE)</f>
        <v>0</v>
      </c>
      <c r="W81" s="574" t="str">
        <f>VLOOKUP($A81,'Pre-Assessment Estimator'!$A$10:$Z$225,W$2,FALSE)</f>
        <v>N/A</v>
      </c>
      <c r="X81" s="577" t="str">
        <f>IF(VLOOKUP($A81,'Pre-Assessment Estimator'!$A$10:$Z$225,X$2,FALSE)=0,"",VLOOKUP($A81,'Pre-Assessment Estimator'!$A$10:$Z$225,X$2,FALSE))</f>
        <v/>
      </c>
      <c r="Y81" s="577" t="str">
        <f>IF(VLOOKUP($A81,'Pre-Assessment Estimator'!$A$10:$Z$225,Y$2,FALSE)=0,"",VLOOKUP($A81,'Pre-Assessment Estimator'!$A$10:$Z$225,Y$2,FALSE))</f>
        <v/>
      </c>
      <c r="Z81" s="370" t="str">
        <f>IF(VLOOKUP($A81,'Pre-Assessment Estimator'!$A$10:$Z$225,Z$2,FALSE)=0,"",VLOOKUP($A81,'Pre-Assessment Estimator'!$A$10:$Z$225,Z$2,FALSE))</f>
        <v/>
      </c>
      <c r="AA81" s="696">
        <v>71</v>
      </c>
      <c r="AB81" s="577"/>
      <c r="AF81" s="386">
        <f t="shared" si="0"/>
        <v>1</v>
      </c>
    </row>
    <row r="82" spans="1:32" x14ac:dyDescent="0.25">
      <c r="A82" s="823">
        <v>73</v>
      </c>
      <c r="B82" s="1236" t="s">
        <v>67</v>
      </c>
      <c r="C82" s="1236"/>
      <c r="D82" s="1259" t="str">
        <f>VLOOKUP($A82,'Pre-Assessment Estimator'!$A$10:$Z$225,D$2,FALSE)</f>
        <v>Ene 05</v>
      </c>
      <c r="E82" s="1260" t="str">
        <f>VLOOKUP($A82,'Pre-Assessment Estimator'!$A$10:$Z$225,E$2,FALSE)</f>
        <v xml:space="preserve">Indirect greenhouse gas emissions </v>
      </c>
      <c r="F82" s="574">
        <f>VLOOKUP($A82,'Pre-Assessment Estimator'!$A$10:$Z$225,F$2,FALSE)</f>
        <v>1</v>
      </c>
      <c r="G82" s="580" t="str">
        <f>IF(VLOOKUP($A82,'Pre-Assessment Estimator'!$A$10:$Z$225,G$2,FALSE)=0,"",VLOOKUP($A82,'Pre-Assessment Estimator'!$A$10:$Z$225,G$2,FALSE))</f>
        <v/>
      </c>
      <c r="H82" s="1222">
        <f>VLOOKUP($A82,'Pre-Assessment Estimator'!$A$10:$Z$225,H$2,FALSE)</f>
        <v>0</v>
      </c>
      <c r="I82" s="576" t="str">
        <f>VLOOKUP($A82,'Pre-Assessment Estimator'!$A$10:$Z$225,I$2,FALSE)</f>
        <v>N/A</v>
      </c>
      <c r="J82" s="577" t="str">
        <f>IF(VLOOKUP($A82,'Pre-Assessment Estimator'!$A$10:$Z$225,J$2,FALSE)=0,"",VLOOKUP($A82,'Pre-Assessment Estimator'!$A$10:$Z$225,J$2,FALSE))</f>
        <v/>
      </c>
      <c r="K82" s="577" t="str">
        <f>IF(VLOOKUP($A82,'Pre-Assessment Estimator'!$A$10:$Z$225,K$2,FALSE)=0,"",VLOOKUP($A82,'Pre-Assessment Estimator'!$A$10:$Z$225,K$2,FALSE))</f>
        <v/>
      </c>
      <c r="L82" s="578" t="str">
        <f>IF(VLOOKUP($A82,'Pre-Assessment Estimator'!$A$10:$Z$225,L$2,FALSE)=0,"",VLOOKUP($A82,'Pre-Assessment Estimator'!$A$10:$Z$225,L$2,FALSE))</f>
        <v/>
      </c>
      <c r="M82" s="579"/>
      <c r="N82" s="580" t="str">
        <f>IF(VLOOKUP($A82,'Pre-Assessment Estimator'!$A$10:$Z$225,N$2,FALSE)=0,"",VLOOKUP($A82,'Pre-Assessment Estimator'!$A$10:$Z$225,N$2,FALSE))</f>
        <v/>
      </c>
      <c r="O82" s="575">
        <f>VLOOKUP($A82,'Pre-Assessment Estimator'!$A$10:$Z$225,O$2,FALSE)</f>
        <v>0</v>
      </c>
      <c r="P82" s="574" t="str">
        <f>VLOOKUP($A82,'Pre-Assessment Estimator'!$A$10:$Z$225,P$2,FALSE)</f>
        <v>N/A</v>
      </c>
      <c r="Q82" s="577" t="str">
        <f>IF(VLOOKUP($A82,'Pre-Assessment Estimator'!$A$10:$Z$225,Q$2,FALSE)=0,"",VLOOKUP($A82,'Pre-Assessment Estimator'!$A$10:$Z$225,Q$2,FALSE))</f>
        <v/>
      </c>
      <c r="R82" s="577" t="str">
        <f>IF(VLOOKUP($A82,'Pre-Assessment Estimator'!$A$10:$Z$225,R$2,FALSE)=0,"",VLOOKUP($A82,'Pre-Assessment Estimator'!$A$10:$Z$225,R$2,FALSE))</f>
        <v/>
      </c>
      <c r="S82" s="578" t="str">
        <f>IF(VLOOKUP($A82,'Pre-Assessment Estimator'!$A$10:$Z$225,S$2,FALSE)=0,"",VLOOKUP($A82,'Pre-Assessment Estimator'!$A$10:$Z$225,S$2,FALSE))</f>
        <v/>
      </c>
      <c r="T82" s="581"/>
      <c r="U82" s="580" t="str">
        <f>IF(VLOOKUP($A82,'Pre-Assessment Estimator'!$A$10:$Z$225,U$2,FALSE)=0,"",VLOOKUP($A82,'Pre-Assessment Estimator'!$A$10:$Z$225,U$2,FALSE))</f>
        <v/>
      </c>
      <c r="V82" s="575">
        <f>VLOOKUP($A82,'Pre-Assessment Estimator'!$A$10:$Z$225,V$2,FALSE)</f>
        <v>0</v>
      </c>
      <c r="W82" s="574" t="str">
        <f>VLOOKUP($A82,'Pre-Assessment Estimator'!$A$10:$Z$225,W$2,FALSE)</f>
        <v>N/A</v>
      </c>
      <c r="X82" s="577" t="str">
        <f>IF(VLOOKUP($A82,'Pre-Assessment Estimator'!$A$10:$Z$225,X$2,FALSE)=0,"",VLOOKUP($A82,'Pre-Assessment Estimator'!$A$10:$Z$225,X$2,FALSE))</f>
        <v/>
      </c>
      <c r="Y82" s="577" t="str">
        <f>IF(VLOOKUP($A82,'Pre-Assessment Estimator'!$A$10:$Z$225,Y$2,FALSE)=0,"",VLOOKUP($A82,'Pre-Assessment Estimator'!$A$10:$Z$225,Y$2,FALSE))</f>
        <v/>
      </c>
      <c r="Z82" s="370" t="str">
        <f>IF(VLOOKUP($A82,'Pre-Assessment Estimator'!$A$10:$Z$225,Z$2,FALSE)=0,"",VLOOKUP($A82,'Pre-Assessment Estimator'!$A$10:$Z$225,Z$2,FALSE))</f>
        <v/>
      </c>
      <c r="AA82" s="696">
        <v>72</v>
      </c>
      <c r="AB82" s="577"/>
      <c r="AF82" s="386">
        <f t="shared" ref="AF82:AF145" si="2">IF(F82="",1,IF(F82=0,2,1))</f>
        <v>1</v>
      </c>
    </row>
    <row r="83" spans="1:32" x14ac:dyDescent="0.25">
      <c r="A83" s="823">
        <v>74</v>
      </c>
      <c r="B83" s="1236" t="s">
        <v>67</v>
      </c>
      <c r="C83" s="1236"/>
      <c r="D83" s="1258" t="str">
        <f>VLOOKUP($A83,'Pre-Assessment Estimator'!$A$10:$Z$225,D$2,FALSE)</f>
        <v>Ene 06</v>
      </c>
      <c r="E83" s="1258" t="str">
        <f>VLOOKUP($A83,'Pre-Assessment Estimator'!$A$10:$Z$225,E$2,FALSE)</f>
        <v>Ene 06 Energy efficient transportation systems</v>
      </c>
      <c r="F83" s="574">
        <f>VLOOKUP($A83,'Pre-Assessment Estimator'!$A$10:$Z$225,F$2,FALSE)</f>
        <v>3</v>
      </c>
      <c r="G83" s="580" t="str">
        <f>IF(VLOOKUP($A83,'Pre-Assessment Estimator'!$A$10:$Z$225,G$2,FALSE)=0,"",VLOOKUP($A83,'Pre-Assessment Estimator'!$A$10:$Z$225,G$2,FALSE))</f>
        <v/>
      </c>
      <c r="H83" s="1222" t="str">
        <f>VLOOKUP($A83,'Pre-Assessment Estimator'!$A$10:$Z$225,H$2,FALSE)</f>
        <v>0 c. 0 %</v>
      </c>
      <c r="I83" s="576" t="str">
        <f>VLOOKUP($A83,'Pre-Assessment Estimator'!$A$10:$Z$225,I$2,FALSE)</f>
        <v>N/A</v>
      </c>
      <c r="J83" s="577" t="str">
        <f>IF(VLOOKUP($A83,'Pre-Assessment Estimator'!$A$10:$Z$225,J$2,FALSE)=0,"",VLOOKUP($A83,'Pre-Assessment Estimator'!$A$10:$Z$225,J$2,FALSE))</f>
        <v/>
      </c>
      <c r="K83" s="577" t="str">
        <f>IF(VLOOKUP($A83,'Pre-Assessment Estimator'!$A$10:$Z$225,K$2,FALSE)=0,"",VLOOKUP($A83,'Pre-Assessment Estimator'!$A$10:$Z$225,K$2,FALSE))</f>
        <v/>
      </c>
      <c r="L83" s="578" t="str">
        <f>IF(VLOOKUP($A83,'Pre-Assessment Estimator'!$A$10:$Z$225,L$2,FALSE)=0,"",VLOOKUP($A83,'Pre-Assessment Estimator'!$A$10:$Z$225,L$2,FALSE))</f>
        <v/>
      </c>
      <c r="M83" s="579"/>
      <c r="N83" s="580" t="str">
        <f>IF(VLOOKUP($A83,'Pre-Assessment Estimator'!$A$10:$Z$225,N$2,FALSE)=0,"",VLOOKUP($A83,'Pre-Assessment Estimator'!$A$10:$Z$225,N$2,FALSE))</f>
        <v/>
      </c>
      <c r="O83" s="575" t="str">
        <f>VLOOKUP($A83,'Pre-Assessment Estimator'!$A$10:$Z$225,O$2,FALSE)</f>
        <v>0 c. 0 %</v>
      </c>
      <c r="P83" s="574" t="str">
        <f>VLOOKUP($A83,'Pre-Assessment Estimator'!$A$10:$Z$225,P$2,FALSE)</f>
        <v>N/A</v>
      </c>
      <c r="Q83" s="577" t="str">
        <f>IF(VLOOKUP($A83,'Pre-Assessment Estimator'!$A$10:$Z$225,Q$2,FALSE)=0,"",VLOOKUP($A83,'Pre-Assessment Estimator'!$A$10:$Z$225,Q$2,FALSE))</f>
        <v/>
      </c>
      <c r="R83" s="577" t="str">
        <f>IF(VLOOKUP($A83,'Pre-Assessment Estimator'!$A$10:$Z$225,R$2,FALSE)=0,"",VLOOKUP($A83,'Pre-Assessment Estimator'!$A$10:$Z$225,R$2,FALSE))</f>
        <v/>
      </c>
      <c r="S83" s="578" t="str">
        <f>IF(VLOOKUP($A83,'Pre-Assessment Estimator'!$A$10:$Z$225,S$2,FALSE)=0,"",VLOOKUP($A83,'Pre-Assessment Estimator'!$A$10:$Z$225,S$2,FALSE))</f>
        <v/>
      </c>
      <c r="T83" s="581"/>
      <c r="U83" s="580" t="str">
        <f>IF(VLOOKUP($A83,'Pre-Assessment Estimator'!$A$10:$Z$225,U$2,FALSE)=0,"",VLOOKUP($A83,'Pre-Assessment Estimator'!$A$10:$Z$225,U$2,FALSE))</f>
        <v/>
      </c>
      <c r="V83" s="575" t="str">
        <f>VLOOKUP($A83,'Pre-Assessment Estimator'!$A$10:$Z$225,V$2,FALSE)</f>
        <v>0 c. 0 %</v>
      </c>
      <c r="W83" s="574" t="str">
        <f>VLOOKUP($A83,'Pre-Assessment Estimator'!$A$10:$Z$225,W$2,FALSE)</f>
        <v>N/A</v>
      </c>
      <c r="X83" s="577" t="str">
        <f>IF(VLOOKUP($A83,'Pre-Assessment Estimator'!$A$10:$Z$225,X$2,FALSE)=0,"",VLOOKUP($A83,'Pre-Assessment Estimator'!$A$10:$Z$225,X$2,FALSE))</f>
        <v/>
      </c>
      <c r="Y83" s="577" t="str">
        <f>IF(VLOOKUP($A83,'Pre-Assessment Estimator'!$A$10:$Z$225,Y$2,FALSE)=0,"",VLOOKUP($A83,'Pre-Assessment Estimator'!$A$10:$Z$225,Y$2,FALSE))</f>
        <v/>
      </c>
      <c r="Z83" s="370" t="str">
        <f>IF(VLOOKUP($A83,'Pre-Assessment Estimator'!$A$10:$Z$225,Z$2,FALSE)=0,"",VLOOKUP($A83,'Pre-Assessment Estimator'!$A$10:$Z$225,Z$2,FALSE))</f>
        <v/>
      </c>
      <c r="AA83" s="696">
        <v>73</v>
      </c>
      <c r="AB83" s="577"/>
      <c r="AF83" s="386">
        <f t="shared" si="2"/>
        <v>1</v>
      </c>
    </row>
    <row r="84" spans="1:32" x14ac:dyDescent="0.25">
      <c r="A84" s="823">
        <v>75</v>
      </c>
      <c r="B84" s="1236" t="s">
        <v>67</v>
      </c>
      <c r="C84" s="1236"/>
      <c r="D84" s="1259" t="str">
        <f>VLOOKUP($A84,'Pre-Assessment Estimator'!$A$10:$Z$225,D$2,FALSE)</f>
        <v>Ene 06</v>
      </c>
      <c r="E84" s="1260" t="str">
        <f>VLOOKUP($A84,'Pre-Assessment Estimator'!$A$10:$Z$225,E$2,FALSE)</f>
        <v>Transport needs and usage patterns</v>
      </c>
      <c r="F84" s="574">
        <f>VLOOKUP($A84,'Pre-Assessment Estimator'!$A$10:$Z$225,F$2,FALSE)</f>
        <v>1</v>
      </c>
      <c r="G84" s="580" t="str">
        <f>IF(VLOOKUP($A84,'Pre-Assessment Estimator'!$A$10:$Z$225,G$2,FALSE)=0,"",VLOOKUP($A84,'Pre-Assessment Estimator'!$A$10:$Z$225,G$2,FALSE))</f>
        <v/>
      </c>
      <c r="H84" s="1222">
        <f>VLOOKUP($A84,'Pre-Assessment Estimator'!$A$10:$Z$225,H$2,FALSE)</f>
        <v>0</v>
      </c>
      <c r="I84" s="576" t="str">
        <f>VLOOKUP($A84,'Pre-Assessment Estimator'!$A$10:$Z$225,I$2,FALSE)</f>
        <v>N/A</v>
      </c>
      <c r="J84" s="577" t="str">
        <f>IF(VLOOKUP($A84,'Pre-Assessment Estimator'!$A$10:$Z$225,J$2,FALSE)=0,"",VLOOKUP($A84,'Pre-Assessment Estimator'!$A$10:$Z$225,J$2,FALSE))</f>
        <v/>
      </c>
      <c r="K84" s="577" t="str">
        <f>IF(VLOOKUP($A84,'Pre-Assessment Estimator'!$A$10:$Z$225,K$2,FALSE)=0,"",VLOOKUP($A84,'Pre-Assessment Estimator'!$A$10:$Z$225,K$2,FALSE))</f>
        <v/>
      </c>
      <c r="L84" s="578" t="str">
        <f>IF(VLOOKUP($A84,'Pre-Assessment Estimator'!$A$10:$Z$225,L$2,FALSE)=0,"",VLOOKUP($A84,'Pre-Assessment Estimator'!$A$10:$Z$225,L$2,FALSE))</f>
        <v/>
      </c>
      <c r="M84" s="579"/>
      <c r="N84" s="580" t="str">
        <f>IF(VLOOKUP($A84,'Pre-Assessment Estimator'!$A$10:$Z$225,N$2,FALSE)=0,"",VLOOKUP($A84,'Pre-Assessment Estimator'!$A$10:$Z$225,N$2,FALSE))</f>
        <v/>
      </c>
      <c r="O84" s="575">
        <f>VLOOKUP($A84,'Pre-Assessment Estimator'!$A$10:$Z$225,O$2,FALSE)</f>
        <v>0</v>
      </c>
      <c r="P84" s="574" t="str">
        <f>VLOOKUP($A84,'Pre-Assessment Estimator'!$A$10:$Z$225,P$2,FALSE)</f>
        <v>N/A</v>
      </c>
      <c r="Q84" s="577" t="str">
        <f>IF(VLOOKUP($A84,'Pre-Assessment Estimator'!$A$10:$Z$225,Q$2,FALSE)=0,"",VLOOKUP($A84,'Pre-Assessment Estimator'!$A$10:$Z$225,Q$2,FALSE))</f>
        <v/>
      </c>
      <c r="R84" s="577" t="str">
        <f>IF(VLOOKUP($A84,'Pre-Assessment Estimator'!$A$10:$Z$225,R$2,FALSE)=0,"",VLOOKUP($A84,'Pre-Assessment Estimator'!$A$10:$Z$225,R$2,FALSE))</f>
        <v/>
      </c>
      <c r="S84" s="578" t="str">
        <f>IF(VLOOKUP($A84,'Pre-Assessment Estimator'!$A$10:$Z$225,S$2,FALSE)=0,"",VLOOKUP($A84,'Pre-Assessment Estimator'!$A$10:$Z$225,S$2,FALSE))</f>
        <v/>
      </c>
      <c r="T84" s="581"/>
      <c r="U84" s="580" t="str">
        <f>IF(VLOOKUP($A84,'Pre-Assessment Estimator'!$A$10:$Z$225,U$2,FALSE)=0,"",VLOOKUP($A84,'Pre-Assessment Estimator'!$A$10:$Z$225,U$2,FALSE))</f>
        <v/>
      </c>
      <c r="V84" s="575">
        <f>VLOOKUP($A84,'Pre-Assessment Estimator'!$A$10:$Z$225,V$2,FALSE)</f>
        <v>0</v>
      </c>
      <c r="W84" s="574" t="str">
        <f>VLOOKUP($A84,'Pre-Assessment Estimator'!$A$10:$Z$225,W$2,FALSE)</f>
        <v>N/A</v>
      </c>
      <c r="X84" s="577" t="str">
        <f>IF(VLOOKUP($A84,'Pre-Assessment Estimator'!$A$10:$Z$225,X$2,FALSE)=0,"",VLOOKUP($A84,'Pre-Assessment Estimator'!$A$10:$Z$225,X$2,FALSE))</f>
        <v/>
      </c>
      <c r="Y84" s="577" t="str">
        <f>IF(VLOOKUP($A84,'Pre-Assessment Estimator'!$A$10:$Z$225,Y$2,FALSE)=0,"",VLOOKUP($A84,'Pre-Assessment Estimator'!$A$10:$Z$225,Y$2,FALSE))</f>
        <v/>
      </c>
      <c r="Z84" s="370" t="str">
        <f>IF(VLOOKUP($A84,'Pre-Assessment Estimator'!$A$10:$Z$225,Z$2,FALSE)=0,"",VLOOKUP($A84,'Pre-Assessment Estimator'!$A$10:$Z$225,Z$2,FALSE))</f>
        <v/>
      </c>
      <c r="AA84" s="696">
        <v>74</v>
      </c>
      <c r="AB84" s="577"/>
      <c r="AF84" s="386">
        <f t="shared" si="2"/>
        <v>1</v>
      </c>
    </row>
    <row r="85" spans="1:32" x14ac:dyDescent="0.25">
      <c r="A85" s="823">
        <v>76</v>
      </c>
      <c r="B85" s="1236" t="s">
        <v>67</v>
      </c>
      <c r="C85" s="1236"/>
      <c r="D85" s="1259" t="str">
        <f>VLOOKUP($A85,'Pre-Assessment Estimator'!$A$10:$Z$225,D$2,FALSE)</f>
        <v>Ene 06</v>
      </c>
      <c r="E85" s="1260" t="str">
        <f>VLOOKUP($A85,'Pre-Assessment Estimator'!$A$10:$Z$225,E$2,FALSE)</f>
        <v>Energy efficient features: lifts</v>
      </c>
      <c r="F85" s="574">
        <f>VLOOKUP($A85,'Pre-Assessment Estimator'!$A$10:$Z$225,F$2,FALSE)</f>
        <v>1</v>
      </c>
      <c r="G85" s="580" t="str">
        <f>IF(VLOOKUP($A85,'Pre-Assessment Estimator'!$A$10:$Z$225,G$2,FALSE)=0,"",VLOOKUP($A85,'Pre-Assessment Estimator'!$A$10:$Z$225,G$2,FALSE))</f>
        <v/>
      </c>
      <c r="H85" s="1222">
        <f>VLOOKUP($A85,'Pre-Assessment Estimator'!$A$10:$Z$225,H$2,FALSE)</f>
        <v>0</v>
      </c>
      <c r="I85" s="576" t="str">
        <f>VLOOKUP($A85,'Pre-Assessment Estimator'!$A$10:$Z$225,I$2,FALSE)</f>
        <v>N/A</v>
      </c>
      <c r="J85" s="577" t="str">
        <f>IF(VLOOKUP($A85,'Pre-Assessment Estimator'!$A$10:$Z$225,J$2,FALSE)=0,"",VLOOKUP($A85,'Pre-Assessment Estimator'!$A$10:$Z$225,J$2,FALSE))</f>
        <v/>
      </c>
      <c r="K85" s="577" t="str">
        <f>IF(VLOOKUP($A85,'Pre-Assessment Estimator'!$A$10:$Z$225,K$2,FALSE)=0,"",VLOOKUP($A85,'Pre-Assessment Estimator'!$A$10:$Z$225,K$2,FALSE))</f>
        <v/>
      </c>
      <c r="L85" s="578" t="str">
        <f>IF(VLOOKUP($A85,'Pre-Assessment Estimator'!$A$10:$Z$225,L$2,FALSE)=0,"",VLOOKUP($A85,'Pre-Assessment Estimator'!$A$10:$Z$225,L$2,FALSE))</f>
        <v/>
      </c>
      <c r="M85" s="579"/>
      <c r="N85" s="580" t="str">
        <f>IF(VLOOKUP($A85,'Pre-Assessment Estimator'!$A$10:$Z$225,N$2,FALSE)=0,"",VLOOKUP($A85,'Pre-Assessment Estimator'!$A$10:$Z$225,N$2,FALSE))</f>
        <v/>
      </c>
      <c r="O85" s="575">
        <f>VLOOKUP($A85,'Pre-Assessment Estimator'!$A$10:$Z$225,O$2,FALSE)</f>
        <v>0</v>
      </c>
      <c r="P85" s="574" t="str">
        <f>VLOOKUP($A85,'Pre-Assessment Estimator'!$A$10:$Z$225,P$2,FALSE)</f>
        <v>N/A</v>
      </c>
      <c r="Q85" s="577" t="str">
        <f>IF(VLOOKUP($A85,'Pre-Assessment Estimator'!$A$10:$Z$225,Q$2,FALSE)=0,"",VLOOKUP($A85,'Pre-Assessment Estimator'!$A$10:$Z$225,Q$2,FALSE))</f>
        <v/>
      </c>
      <c r="R85" s="577" t="str">
        <f>IF(VLOOKUP($A85,'Pre-Assessment Estimator'!$A$10:$Z$225,R$2,FALSE)=0,"",VLOOKUP($A85,'Pre-Assessment Estimator'!$A$10:$Z$225,R$2,FALSE))</f>
        <v/>
      </c>
      <c r="S85" s="578" t="str">
        <f>IF(VLOOKUP($A85,'Pre-Assessment Estimator'!$A$10:$Z$225,S$2,FALSE)=0,"",VLOOKUP($A85,'Pre-Assessment Estimator'!$A$10:$Z$225,S$2,FALSE))</f>
        <v/>
      </c>
      <c r="T85" s="581"/>
      <c r="U85" s="580" t="str">
        <f>IF(VLOOKUP($A85,'Pre-Assessment Estimator'!$A$10:$Z$225,U$2,FALSE)=0,"",VLOOKUP($A85,'Pre-Assessment Estimator'!$A$10:$Z$225,U$2,FALSE))</f>
        <v/>
      </c>
      <c r="V85" s="575">
        <f>VLOOKUP($A85,'Pre-Assessment Estimator'!$A$10:$Z$225,V$2,FALSE)</f>
        <v>0</v>
      </c>
      <c r="W85" s="574" t="str">
        <f>VLOOKUP($A85,'Pre-Assessment Estimator'!$A$10:$Z$225,W$2,FALSE)</f>
        <v>N/A</v>
      </c>
      <c r="X85" s="577" t="str">
        <f>IF(VLOOKUP($A85,'Pre-Assessment Estimator'!$A$10:$Z$225,X$2,FALSE)=0,"",VLOOKUP($A85,'Pre-Assessment Estimator'!$A$10:$Z$225,X$2,FALSE))</f>
        <v/>
      </c>
      <c r="Y85" s="577" t="str">
        <f>IF(VLOOKUP($A85,'Pre-Assessment Estimator'!$A$10:$Z$225,Y$2,FALSE)=0,"",VLOOKUP($A85,'Pre-Assessment Estimator'!$A$10:$Z$225,Y$2,FALSE))</f>
        <v/>
      </c>
      <c r="Z85" s="370" t="str">
        <f>IF(VLOOKUP($A85,'Pre-Assessment Estimator'!$A$10:$Z$225,Z$2,FALSE)=0,"",VLOOKUP($A85,'Pre-Assessment Estimator'!$A$10:$Z$225,Z$2,FALSE))</f>
        <v/>
      </c>
      <c r="AA85" s="696">
        <v>75</v>
      </c>
      <c r="AB85" s="577"/>
      <c r="AF85" s="386">
        <f t="shared" si="2"/>
        <v>1</v>
      </c>
    </row>
    <row r="86" spans="1:32" x14ac:dyDescent="0.25">
      <c r="A86" s="823">
        <v>77</v>
      </c>
      <c r="B86" s="1236" t="s">
        <v>67</v>
      </c>
      <c r="C86" s="1236"/>
      <c r="D86" s="1259" t="str">
        <f>VLOOKUP($A86,'Pre-Assessment Estimator'!$A$10:$Z$225,D$2,FALSE)</f>
        <v>Ene 06</v>
      </c>
      <c r="E86" s="1260" t="str">
        <f>VLOOKUP($A86,'Pre-Assessment Estimator'!$A$10:$Z$225,E$2,FALSE)</f>
        <v>Energy efficient features: escalators or moving walks</v>
      </c>
      <c r="F86" s="574">
        <f>VLOOKUP($A86,'Pre-Assessment Estimator'!$A$10:$Z$225,F$2,FALSE)</f>
        <v>1</v>
      </c>
      <c r="G86" s="580" t="str">
        <f>IF(VLOOKUP($A86,'Pre-Assessment Estimator'!$A$10:$Z$225,G$2,FALSE)=0,"",VLOOKUP($A86,'Pre-Assessment Estimator'!$A$10:$Z$225,G$2,FALSE))</f>
        <v/>
      </c>
      <c r="H86" s="1222">
        <f>VLOOKUP($A86,'Pre-Assessment Estimator'!$A$10:$Z$225,H$2,FALSE)</f>
        <v>0</v>
      </c>
      <c r="I86" s="576" t="str">
        <f>VLOOKUP($A86,'Pre-Assessment Estimator'!$A$10:$Z$225,I$2,FALSE)</f>
        <v>N/A</v>
      </c>
      <c r="J86" s="577" t="str">
        <f>IF(VLOOKUP($A86,'Pre-Assessment Estimator'!$A$10:$Z$225,J$2,FALSE)=0,"",VLOOKUP($A86,'Pre-Assessment Estimator'!$A$10:$Z$225,J$2,FALSE))</f>
        <v/>
      </c>
      <c r="K86" s="577" t="str">
        <f>IF(VLOOKUP($A86,'Pre-Assessment Estimator'!$A$10:$Z$225,K$2,FALSE)=0,"",VLOOKUP($A86,'Pre-Assessment Estimator'!$A$10:$Z$225,K$2,FALSE))</f>
        <v/>
      </c>
      <c r="L86" s="578" t="str">
        <f>IF(VLOOKUP($A86,'Pre-Assessment Estimator'!$A$10:$Z$225,L$2,FALSE)=0,"",VLOOKUP($A86,'Pre-Assessment Estimator'!$A$10:$Z$225,L$2,FALSE))</f>
        <v/>
      </c>
      <c r="M86" s="579"/>
      <c r="N86" s="580" t="str">
        <f>IF(VLOOKUP($A86,'Pre-Assessment Estimator'!$A$10:$Z$225,N$2,FALSE)=0,"",VLOOKUP($A86,'Pre-Assessment Estimator'!$A$10:$Z$225,N$2,FALSE))</f>
        <v/>
      </c>
      <c r="O86" s="575">
        <f>VLOOKUP($A86,'Pre-Assessment Estimator'!$A$10:$Z$225,O$2,FALSE)</f>
        <v>0</v>
      </c>
      <c r="P86" s="574" t="str">
        <f>VLOOKUP($A86,'Pre-Assessment Estimator'!$A$10:$Z$225,P$2,FALSE)</f>
        <v>N/A</v>
      </c>
      <c r="Q86" s="577" t="str">
        <f>IF(VLOOKUP($A86,'Pre-Assessment Estimator'!$A$10:$Z$225,Q$2,FALSE)=0,"",VLOOKUP($A86,'Pre-Assessment Estimator'!$A$10:$Z$225,Q$2,FALSE))</f>
        <v/>
      </c>
      <c r="R86" s="577" t="str">
        <f>IF(VLOOKUP($A86,'Pre-Assessment Estimator'!$A$10:$Z$225,R$2,FALSE)=0,"",VLOOKUP($A86,'Pre-Assessment Estimator'!$A$10:$Z$225,R$2,FALSE))</f>
        <v/>
      </c>
      <c r="S86" s="578" t="str">
        <f>IF(VLOOKUP($A86,'Pre-Assessment Estimator'!$A$10:$Z$225,S$2,FALSE)=0,"",VLOOKUP($A86,'Pre-Assessment Estimator'!$A$10:$Z$225,S$2,FALSE))</f>
        <v/>
      </c>
      <c r="T86" s="581"/>
      <c r="U86" s="580" t="str">
        <f>IF(VLOOKUP($A86,'Pre-Assessment Estimator'!$A$10:$Z$225,U$2,FALSE)=0,"",VLOOKUP($A86,'Pre-Assessment Estimator'!$A$10:$Z$225,U$2,FALSE))</f>
        <v/>
      </c>
      <c r="V86" s="575">
        <f>VLOOKUP($A86,'Pre-Assessment Estimator'!$A$10:$Z$225,V$2,FALSE)</f>
        <v>0</v>
      </c>
      <c r="W86" s="574" t="str">
        <f>VLOOKUP($A86,'Pre-Assessment Estimator'!$A$10:$Z$225,W$2,FALSE)</f>
        <v>N/A</v>
      </c>
      <c r="X86" s="577" t="str">
        <f>IF(VLOOKUP($A86,'Pre-Assessment Estimator'!$A$10:$Z$225,X$2,FALSE)=0,"",VLOOKUP($A86,'Pre-Assessment Estimator'!$A$10:$Z$225,X$2,FALSE))</f>
        <v/>
      </c>
      <c r="Y86" s="577" t="str">
        <f>IF(VLOOKUP($A86,'Pre-Assessment Estimator'!$A$10:$Z$225,Y$2,FALSE)=0,"",VLOOKUP($A86,'Pre-Assessment Estimator'!$A$10:$Z$225,Y$2,FALSE))</f>
        <v/>
      </c>
      <c r="Z86" s="370" t="str">
        <f>IF(VLOOKUP($A86,'Pre-Assessment Estimator'!$A$10:$Z$225,Z$2,FALSE)=0,"",VLOOKUP($A86,'Pre-Assessment Estimator'!$A$10:$Z$225,Z$2,FALSE))</f>
        <v/>
      </c>
      <c r="AA86" s="696">
        <v>76</v>
      </c>
      <c r="AB86" s="577"/>
      <c r="AF86" s="386">
        <f t="shared" si="2"/>
        <v>1</v>
      </c>
    </row>
    <row r="87" spans="1:32" x14ac:dyDescent="0.25">
      <c r="A87" s="823">
        <v>78</v>
      </c>
      <c r="B87" s="1236" t="s">
        <v>67</v>
      </c>
      <c r="C87" s="1236"/>
      <c r="D87" s="1258" t="str">
        <f>VLOOKUP($A87,'Pre-Assessment Estimator'!$A$10:$Z$225,D$2,FALSE)</f>
        <v>Ene 07</v>
      </c>
      <c r="E87" s="1258" t="str">
        <f>VLOOKUP($A87,'Pre-Assessment Estimator'!$A$10:$Z$225,E$2,FALSE)</f>
        <v>Ene 07 Energy Efficient Laboratory Systems</v>
      </c>
      <c r="F87" s="574">
        <f>VLOOKUP($A87,'Pre-Assessment Estimator'!$A$10:$Z$225,F$2,FALSE)</f>
        <v>5</v>
      </c>
      <c r="G87" s="580" t="str">
        <f>IF(VLOOKUP($A87,'Pre-Assessment Estimator'!$A$10:$Z$225,G$2,FALSE)=0,"",VLOOKUP($A87,'Pre-Assessment Estimator'!$A$10:$Z$225,G$2,FALSE))</f>
        <v/>
      </c>
      <c r="H87" s="1222" t="str">
        <f>VLOOKUP($A87,'Pre-Assessment Estimator'!$A$10:$Z$225,H$2,FALSE)</f>
        <v>0 c. 0 %</v>
      </c>
      <c r="I87" s="576" t="str">
        <f>VLOOKUP($A87,'Pre-Assessment Estimator'!$A$10:$Z$225,I$2,FALSE)</f>
        <v>N/A</v>
      </c>
      <c r="J87" s="577" t="str">
        <f>IF(VLOOKUP($A87,'Pre-Assessment Estimator'!$A$10:$Z$225,J$2,FALSE)=0,"",VLOOKUP($A87,'Pre-Assessment Estimator'!$A$10:$Z$225,J$2,FALSE))</f>
        <v/>
      </c>
      <c r="K87" s="577" t="str">
        <f>IF(VLOOKUP($A87,'Pre-Assessment Estimator'!$A$10:$Z$225,K$2,FALSE)=0,"",VLOOKUP($A87,'Pre-Assessment Estimator'!$A$10:$Z$225,K$2,FALSE))</f>
        <v/>
      </c>
      <c r="L87" s="578" t="str">
        <f>IF(VLOOKUP($A87,'Pre-Assessment Estimator'!$A$10:$Z$225,L$2,FALSE)=0,"",VLOOKUP($A87,'Pre-Assessment Estimator'!$A$10:$Z$225,L$2,FALSE))</f>
        <v/>
      </c>
      <c r="M87" s="579"/>
      <c r="N87" s="580" t="str">
        <f>IF(VLOOKUP($A87,'Pre-Assessment Estimator'!$A$10:$Z$225,N$2,FALSE)=0,"",VLOOKUP($A87,'Pre-Assessment Estimator'!$A$10:$Z$225,N$2,FALSE))</f>
        <v/>
      </c>
      <c r="O87" s="575" t="str">
        <f>VLOOKUP($A87,'Pre-Assessment Estimator'!$A$10:$Z$225,O$2,FALSE)</f>
        <v>0 c. 0 %</v>
      </c>
      <c r="P87" s="574" t="str">
        <f>VLOOKUP($A87,'Pre-Assessment Estimator'!$A$10:$Z$225,P$2,FALSE)</f>
        <v>N/A</v>
      </c>
      <c r="Q87" s="577" t="str">
        <f>IF(VLOOKUP($A87,'Pre-Assessment Estimator'!$A$10:$Z$225,Q$2,FALSE)=0,"",VLOOKUP($A87,'Pre-Assessment Estimator'!$A$10:$Z$225,Q$2,FALSE))</f>
        <v/>
      </c>
      <c r="R87" s="577" t="str">
        <f>IF(VLOOKUP($A87,'Pre-Assessment Estimator'!$A$10:$Z$225,R$2,FALSE)=0,"",VLOOKUP($A87,'Pre-Assessment Estimator'!$A$10:$Z$225,R$2,FALSE))</f>
        <v/>
      </c>
      <c r="S87" s="578" t="str">
        <f>IF(VLOOKUP($A87,'Pre-Assessment Estimator'!$A$10:$Z$225,S$2,FALSE)=0,"",VLOOKUP($A87,'Pre-Assessment Estimator'!$A$10:$Z$225,S$2,FALSE))</f>
        <v/>
      </c>
      <c r="T87" s="581"/>
      <c r="U87" s="580" t="str">
        <f>IF(VLOOKUP($A87,'Pre-Assessment Estimator'!$A$10:$Z$225,U$2,FALSE)=0,"",VLOOKUP($A87,'Pre-Assessment Estimator'!$A$10:$Z$225,U$2,FALSE))</f>
        <v/>
      </c>
      <c r="V87" s="575" t="str">
        <f>VLOOKUP($A87,'Pre-Assessment Estimator'!$A$10:$Z$225,V$2,FALSE)</f>
        <v>0 c. 0 %</v>
      </c>
      <c r="W87" s="574" t="str">
        <f>VLOOKUP($A87,'Pre-Assessment Estimator'!$A$10:$Z$225,W$2,FALSE)</f>
        <v>N/A</v>
      </c>
      <c r="X87" s="577" t="str">
        <f>IF(VLOOKUP($A87,'Pre-Assessment Estimator'!$A$10:$Z$225,X$2,FALSE)=0,"",VLOOKUP($A87,'Pre-Assessment Estimator'!$A$10:$Z$225,X$2,FALSE))</f>
        <v/>
      </c>
      <c r="Y87" s="577" t="str">
        <f>IF(VLOOKUP($A87,'Pre-Assessment Estimator'!$A$10:$Z$225,Y$2,FALSE)=0,"",VLOOKUP($A87,'Pre-Assessment Estimator'!$A$10:$Z$225,Y$2,FALSE))</f>
        <v/>
      </c>
      <c r="Z87" s="370" t="str">
        <f>IF(VLOOKUP($A87,'Pre-Assessment Estimator'!$A$10:$Z$225,Z$2,FALSE)=0,"",VLOOKUP($A87,'Pre-Assessment Estimator'!$A$10:$Z$225,Z$2,FALSE))</f>
        <v/>
      </c>
      <c r="AA87" s="696">
        <v>77</v>
      </c>
      <c r="AB87" s="577"/>
      <c r="AF87" s="386">
        <f t="shared" si="2"/>
        <v>1</v>
      </c>
    </row>
    <row r="88" spans="1:32" x14ac:dyDescent="0.25">
      <c r="A88" s="823">
        <v>79</v>
      </c>
      <c r="B88" s="1236" t="s">
        <v>67</v>
      </c>
      <c r="C88" s="1236"/>
      <c r="D88" s="1259" t="str">
        <f>VLOOKUP($A88,'Pre-Assessment Estimator'!$A$10:$Z$225,D$2,FALSE)</f>
        <v>Ene 07</v>
      </c>
      <c r="E88" s="1260" t="str">
        <f>VLOOKUP($A88,'Pre-Assessment Estimator'!$A$10:$Z$225,E$2,FALSE)</f>
        <v xml:space="preserve">Design specification </v>
      </c>
      <c r="F88" s="574">
        <f>VLOOKUP($A88,'Pre-Assessment Estimator'!$A$10:$Z$225,F$2,FALSE)</f>
        <v>1</v>
      </c>
      <c r="G88" s="580" t="str">
        <f>IF(VLOOKUP($A88,'Pre-Assessment Estimator'!$A$10:$Z$225,G$2,FALSE)=0,"",VLOOKUP($A88,'Pre-Assessment Estimator'!$A$10:$Z$225,G$2,FALSE))</f>
        <v/>
      </c>
      <c r="H88" s="1222">
        <f>VLOOKUP($A88,'Pre-Assessment Estimator'!$A$10:$Z$225,H$2,FALSE)</f>
        <v>0</v>
      </c>
      <c r="I88" s="576" t="str">
        <f>VLOOKUP($A88,'Pre-Assessment Estimator'!$A$10:$Z$225,I$2,FALSE)</f>
        <v>Unclassified</v>
      </c>
      <c r="J88" s="577" t="str">
        <f>IF(VLOOKUP($A88,'Pre-Assessment Estimator'!$A$10:$Z$225,J$2,FALSE)=0,"",VLOOKUP($A88,'Pre-Assessment Estimator'!$A$10:$Z$225,J$2,FALSE))</f>
        <v/>
      </c>
      <c r="K88" s="577" t="str">
        <f>IF(VLOOKUP($A88,'Pre-Assessment Estimator'!$A$10:$Z$225,K$2,FALSE)=0,"",VLOOKUP($A88,'Pre-Assessment Estimator'!$A$10:$Z$225,K$2,FALSE))</f>
        <v/>
      </c>
      <c r="L88" s="578" t="str">
        <f>IF(VLOOKUP($A88,'Pre-Assessment Estimator'!$A$10:$Z$225,L$2,FALSE)=0,"",VLOOKUP($A88,'Pre-Assessment Estimator'!$A$10:$Z$225,L$2,FALSE))</f>
        <v/>
      </c>
      <c r="M88" s="579"/>
      <c r="N88" s="580" t="str">
        <f>IF(VLOOKUP($A88,'Pre-Assessment Estimator'!$A$10:$Z$225,N$2,FALSE)=0,"",VLOOKUP($A88,'Pre-Assessment Estimator'!$A$10:$Z$225,N$2,FALSE))</f>
        <v/>
      </c>
      <c r="O88" s="575">
        <f>VLOOKUP($A88,'Pre-Assessment Estimator'!$A$10:$Z$225,O$2,FALSE)</f>
        <v>0</v>
      </c>
      <c r="P88" s="574" t="str">
        <f>VLOOKUP($A88,'Pre-Assessment Estimator'!$A$10:$Z$225,P$2,FALSE)</f>
        <v>Unclassified</v>
      </c>
      <c r="Q88" s="577" t="str">
        <f>IF(VLOOKUP($A88,'Pre-Assessment Estimator'!$A$10:$Z$225,Q$2,FALSE)=0,"",VLOOKUP($A88,'Pre-Assessment Estimator'!$A$10:$Z$225,Q$2,FALSE))</f>
        <v/>
      </c>
      <c r="R88" s="577" t="str">
        <f>IF(VLOOKUP($A88,'Pre-Assessment Estimator'!$A$10:$Z$225,R$2,FALSE)=0,"",VLOOKUP($A88,'Pre-Assessment Estimator'!$A$10:$Z$225,R$2,FALSE))</f>
        <v/>
      </c>
      <c r="S88" s="578" t="str">
        <f>IF(VLOOKUP($A88,'Pre-Assessment Estimator'!$A$10:$Z$225,S$2,FALSE)=0,"",VLOOKUP($A88,'Pre-Assessment Estimator'!$A$10:$Z$225,S$2,FALSE))</f>
        <v/>
      </c>
      <c r="T88" s="581"/>
      <c r="U88" s="580" t="str">
        <f>IF(VLOOKUP($A88,'Pre-Assessment Estimator'!$A$10:$Z$225,U$2,FALSE)=0,"",VLOOKUP($A88,'Pre-Assessment Estimator'!$A$10:$Z$225,U$2,FALSE))</f>
        <v/>
      </c>
      <c r="V88" s="575">
        <f>VLOOKUP($A88,'Pre-Assessment Estimator'!$A$10:$Z$225,V$2,FALSE)</f>
        <v>0</v>
      </c>
      <c r="W88" s="574" t="str">
        <f>VLOOKUP($A88,'Pre-Assessment Estimator'!$A$10:$Z$225,W$2,FALSE)</f>
        <v>Unclassified</v>
      </c>
      <c r="X88" s="577" t="str">
        <f>IF(VLOOKUP($A88,'Pre-Assessment Estimator'!$A$10:$Z$225,X$2,FALSE)=0,"",VLOOKUP($A88,'Pre-Assessment Estimator'!$A$10:$Z$225,X$2,FALSE))</f>
        <v/>
      </c>
      <c r="Y88" s="577" t="str">
        <f>IF(VLOOKUP($A88,'Pre-Assessment Estimator'!$A$10:$Z$225,Y$2,FALSE)=0,"",VLOOKUP($A88,'Pre-Assessment Estimator'!$A$10:$Z$225,Y$2,FALSE))</f>
        <v/>
      </c>
      <c r="Z88" s="370" t="str">
        <f>IF(VLOOKUP($A88,'Pre-Assessment Estimator'!$A$10:$Z$225,Z$2,FALSE)=0,"",VLOOKUP($A88,'Pre-Assessment Estimator'!$A$10:$Z$225,Z$2,FALSE))</f>
        <v/>
      </c>
      <c r="AA88" s="696">
        <v>78</v>
      </c>
      <c r="AB88" s="577"/>
      <c r="AF88" s="386">
        <f t="shared" si="2"/>
        <v>1</v>
      </c>
    </row>
    <row r="89" spans="1:32" x14ac:dyDescent="0.25">
      <c r="A89" s="823">
        <v>80</v>
      </c>
      <c r="B89" s="1236" t="s">
        <v>67</v>
      </c>
      <c r="C89" s="1236"/>
      <c r="D89" s="1259" t="str">
        <f>VLOOKUP($A89,'Pre-Assessment Estimator'!$A$10:$Z$225,D$2,FALSE)</f>
        <v>Ene 07</v>
      </c>
      <c r="E89" s="1260" t="str">
        <f>VLOOKUP($A89,'Pre-Assessment Estimator'!$A$10:$Z$225,E$2,FALSE)</f>
        <v xml:space="preserve">Best practice energy efficient measures </v>
      </c>
      <c r="F89" s="574">
        <f>VLOOKUP($A89,'Pre-Assessment Estimator'!$A$10:$Z$225,F$2,FALSE)</f>
        <v>4</v>
      </c>
      <c r="G89" s="580" t="str">
        <f>IF(VLOOKUP($A89,'Pre-Assessment Estimator'!$A$10:$Z$225,G$2,FALSE)=0,"",VLOOKUP($A89,'Pre-Assessment Estimator'!$A$10:$Z$225,G$2,FALSE))</f>
        <v/>
      </c>
      <c r="H89" s="1222">
        <f>VLOOKUP($A89,'Pre-Assessment Estimator'!$A$10:$Z$225,H$2,FALSE)</f>
        <v>0</v>
      </c>
      <c r="I89" s="576" t="str">
        <f>VLOOKUP($A89,'Pre-Assessment Estimator'!$A$10:$Z$225,I$2,FALSE)</f>
        <v>N/A</v>
      </c>
      <c r="J89" s="577" t="str">
        <f>IF(VLOOKUP($A89,'Pre-Assessment Estimator'!$A$10:$Z$225,J$2,FALSE)=0,"",VLOOKUP($A89,'Pre-Assessment Estimator'!$A$10:$Z$225,J$2,FALSE))</f>
        <v/>
      </c>
      <c r="K89" s="577" t="str">
        <f>IF(VLOOKUP($A89,'Pre-Assessment Estimator'!$A$10:$Z$225,K$2,FALSE)=0,"",VLOOKUP($A89,'Pre-Assessment Estimator'!$A$10:$Z$225,K$2,FALSE))</f>
        <v/>
      </c>
      <c r="L89" s="578" t="str">
        <f>IF(VLOOKUP($A89,'Pre-Assessment Estimator'!$A$10:$Z$225,L$2,FALSE)=0,"",VLOOKUP($A89,'Pre-Assessment Estimator'!$A$10:$Z$225,L$2,FALSE))</f>
        <v/>
      </c>
      <c r="M89" s="579"/>
      <c r="N89" s="580" t="str">
        <f>IF(VLOOKUP($A89,'Pre-Assessment Estimator'!$A$10:$Z$225,N$2,FALSE)=0,"",VLOOKUP($A89,'Pre-Assessment Estimator'!$A$10:$Z$225,N$2,FALSE))</f>
        <v/>
      </c>
      <c r="O89" s="575">
        <f>VLOOKUP($A89,'Pre-Assessment Estimator'!$A$10:$Z$225,O$2,FALSE)</f>
        <v>0</v>
      </c>
      <c r="P89" s="574" t="str">
        <f>VLOOKUP($A89,'Pre-Assessment Estimator'!$A$10:$Z$225,P$2,FALSE)</f>
        <v>N/A</v>
      </c>
      <c r="Q89" s="577" t="str">
        <f>IF(VLOOKUP($A89,'Pre-Assessment Estimator'!$A$10:$Z$225,Q$2,FALSE)=0,"",VLOOKUP($A89,'Pre-Assessment Estimator'!$A$10:$Z$225,Q$2,FALSE))</f>
        <v/>
      </c>
      <c r="R89" s="577" t="str">
        <f>IF(VLOOKUP($A89,'Pre-Assessment Estimator'!$A$10:$Z$225,R$2,FALSE)=0,"",VLOOKUP($A89,'Pre-Assessment Estimator'!$A$10:$Z$225,R$2,FALSE))</f>
        <v/>
      </c>
      <c r="S89" s="578" t="str">
        <f>IF(VLOOKUP($A89,'Pre-Assessment Estimator'!$A$10:$Z$225,S$2,FALSE)=0,"",VLOOKUP($A89,'Pre-Assessment Estimator'!$A$10:$Z$225,S$2,FALSE))</f>
        <v/>
      </c>
      <c r="T89" s="581"/>
      <c r="U89" s="580" t="str">
        <f>IF(VLOOKUP($A89,'Pre-Assessment Estimator'!$A$10:$Z$225,U$2,FALSE)=0,"",VLOOKUP($A89,'Pre-Assessment Estimator'!$A$10:$Z$225,U$2,FALSE))</f>
        <v/>
      </c>
      <c r="V89" s="575">
        <f>VLOOKUP($A89,'Pre-Assessment Estimator'!$A$10:$Z$225,V$2,FALSE)</f>
        <v>0</v>
      </c>
      <c r="W89" s="574" t="str">
        <f>VLOOKUP($A89,'Pre-Assessment Estimator'!$A$10:$Z$225,W$2,FALSE)</f>
        <v>N/A</v>
      </c>
      <c r="X89" s="577" t="str">
        <f>IF(VLOOKUP($A89,'Pre-Assessment Estimator'!$A$10:$Z$225,X$2,FALSE)=0,"",VLOOKUP($A89,'Pre-Assessment Estimator'!$A$10:$Z$225,X$2,FALSE))</f>
        <v/>
      </c>
      <c r="Y89" s="577" t="str">
        <f>IF(VLOOKUP($A89,'Pre-Assessment Estimator'!$A$10:$Z$225,Y$2,FALSE)=0,"",VLOOKUP($A89,'Pre-Assessment Estimator'!$A$10:$Z$225,Y$2,FALSE))</f>
        <v/>
      </c>
      <c r="Z89" s="370" t="str">
        <f>IF(VLOOKUP($A89,'Pre-Assessment Estimator'!$A$10:$Z$225,Z$2,FALSE)=0,"",VLOOKUP($A89,'Pre-Assessment Estimator'!$A$10:$Z$225,Z$2,FALSE))</f>
        <v/>
      </c>
      <c r="AA89" s="696">
        <v>79</v>
      </c>
      <c r="AB89" s="577"/>
      <c r="AF89" s="386">
        <f t="shared" si="2"/>
        <v>1</v>
      </c>
    </row>
    <row r="90" spans="1:32" x14ac:dyDescent="0.25">
      <c r="A90" s="823">
        <v>81</v>
      </c>
      <c r="B90" s="1236" t="s">
        <v>67</v>
      </c>
      <c r="C90" s="1236"/>
      <c r="D90" s="1258" t="str">
        <f>VLOOKUP($A90,'Pre-Assessment Estimator'!$A$10:$Z$225,D$2,FALSE)</f>
        <v>Ene 08</v>
      </c>
      <c r="E90" s="1258" t="str">
        <f>VLOOKUP($A90,'Pre-Assessment Estimator'!$A$10:$Z$225,E$2,FALSE)</f>
        <v>Ene 08 Energy efficient equipment</v>
      </c>
      <c r="F90" s="574">
        <f>VLOOKUP($A90,'Pre-Assessment Estimator'!$A$10:$Z$225,F$2,FALSE)</f>
        <v>2</v>
      </c>
      <c r="G90" s="580" t="str">
        <f>IF(VLOOKUP($A90,'Pre-Assessment Estimator'!$A$10:$Z$225,G$2,FALSE)=0,"",VLOOKUP($A90,'Pre-Assessment Estimator'!$A$10:$Z$225,G$2,FALSE))</f>
        <v/>
      </c>
      <c r="H90" s="1222" t="str">
        <f>VLOOKUP($A90,'Pre-Assessment Estimator'!$A$10:$Z$225,H$2,FALSE)</f>
        <v>0 c. 0 %</v>
      </c>
      <c r="I90" s="576" t="str">
        <f>VLOOKUP($A90,'Pre-Assessment Estimator'!$A$10:$Z$225,I$2,FALSE)</f>
        <v>N/A</v>
      </c>
      <c r="J90" s="577" t="str">
        <f>IF(VLOOKUP($A90,'Pre-Assessment Estimator'!$A$10:$Z$225,J$2,FALSE)=0,"",VLOOKUP($A90,'Pre-Assessment Estimator'!$A$10:$Z$225,J$2,FALSE))</f>
        <v/>
      </c>
      <c r="K90" s="577" t="str">
        <f>IF(VLOOKUP($A90,'Pre-Assessment Estimator'!$A$10:$Z$225,K$2,FALSE)=0,"",VLOOKUP($A90,'Pre-Assessment Estimator'!$A$10:$Z$225,K$2,FALSE))</f>
        <v/>
      </c>
      <c r="L90" s="578" t="str">
        <f>IF(VLOOKUP($A90,'Pre-Assessment Estimator'!$A$10:$Z$225,L$2,FALSE)=0,"",VLOOKUP($A90,'Pre-Assessment Estimator'!$A$10:$Z$225,L$2,FALSE))</f>
        <v/>
      </c>
      <c r="M90" s="579"/>
      <c r="N90" s="580" t="str">
        <f>IF(VLOOKUP($A90,'Pre-Assessment Estimator'!$A$10:$Z$225,N$2,FALSE)=0,"",VLOOKUP($A90,'Pre-Assessment Estimator'!$A$10:$Z$225,N$2,FALSE))</f>
        <v/>
      </c>
      <c r="O90" s="575" t="str">
        <f>VLOOKUP($A90,'Pre-Assessment Estimator'!$A$10:$Z$225,O$2,FALSE)</f>
        <v>0 c. 0 %</v>
      </c>
      <c r="P90" s="574" t="str">
        <f>VLOOKUP($A90,'Pre-Assessment Estimator'!$A$10:$Z$225,P$2,FALSE)</f>
        <v>N/A</v>
      </c>
      <c r="Q90" s="577" t="str">
        <f>IF(VLOOKUP($A90,'Pre-Assessment Estimator'!$A$10:$Z$225,Q$2,FALSE)=0,"",VLOOKUP($A90,'Pre-Assessment Estimator'!$A$10:$Z$225,Q$2,FALSE))</f>
        <v/>
      </c>
      <c r="R90" s="577" t="str">
        <f>IF(VLOOKUP($A90,'Pre-Assessment Estimator'!$A$10:$Z$225,R$2,FALSE)=0,"",VLOOKUP($A90,'Pre-Assessment Estimator'!$A$10:$Z$225,R$2,FALSE))</f>
        <v/>
      </c>
      <c r="S90" s="578" t="str">
        <f>IF(VLOOKUP($A90,'Pre-Assessment Estimator'!$A$10:$Z$225,S$2,FALSE)=0,"",VLOOKUP($A90,'Pre-Assessment Estimator'!$A$10:$Z$225,S$2,FALSE))</f>
        <v/>
      </c>
      <c r="T90" s="581"/>
      <c r="U90" s="580" t="str">
        <f>IF(VLOOKUP($A90,'Pre-Assessment Estimator'!$A$10:$Z$225,U$2,FALSE)=0,"",VLOOKUP($A90,'Pre-Assessment Estimator'!$A$10:$Z$225,U$2,FALSE))</f>
        <v/>
      </c>
      <c r="V90" s="575" t="str">
        <f>VLOOKUP($A90,'Pre-Assessment Estimator'!$A$10:$Z$225,V$2,FALSE)</f>
        <v>0 c. 0 %</v>
      </c>
      <c r="W90" s="574" t="str">
        <f>VLOOKUP($A90,'Pre-Assessment Estimator'!$A$10:$Z$225,W$2,FALSE)</f>
        <v>N/A</v>
      </c>
      <c r="X90" s="577" t="str">
        <f>IF(VLOOKUP($A90,'Pre-Assessment Estimator'!$A$10:$Z$225,X$2,FALSE)=0,"",VLOOKUP($A90,'Pre-Assessment Estimator'!$A$10:$Z$225,X$2,FALSE))</f>
        <v/>
      </c>
      <c r="Y90" s="577" t="str">
        <f>IF(VLOOKUP($A90,'Pre-Assessment Estimator'!$A$10:$Z$225,Y$2,FALSE)=0,"",VLOOKUP($A90,'Pre-Assessment Estimator'!$A$10:$Z$225,Y$2,FALSE))</f>
        <v/>
      </c>
      <c r="Z90" s="370" t="str">
        <f>IF(VLOOKUP($A90,'Pre-Assessment Estimator'!$A$10:$Z$225,Z$2,FALSE)=0,"",VLOOKUP($A90,'Pre-Assessment Estimator'!$A$10:$Z$225,Z$2,FALSE))</f>
        <v/>
      </c>
      <c r="AA90" s="696">
        <v>80</v>
      </c>
      <c r="AB90" s="577"/>
      <c r="AF90" s="386">
        <f t="shared" si="2"/>
        <v>1</v>
      </c>
    </row>
    <row r="91" spans="1:32" x14ac:dyDescent="0.25">
      <c r="A91" s="823">
        <v>82</v>
      </c>
      <c r="B91" s="1236" t="s">
        <v>67</v>
      </c>
      <c r="C91" s="1236"/>
      <c r="D91" s="1259" t="str">
        <f>VLOOKUP($A91,'Pre-Assessment Estimator'!$A$10:$Z$225,D$2,FALSE)</f>
        <v>Ene 08</v>
      </c>
      <c r="E91" s="1260" t="str">
        <f>VLOOKUP($A91,'Pre-Assessment Estimator'!$A$10:$Z$225,E$2,FALSE)</f>
        <v xml:space="preserve">Reduction of the building's significant unregulated energy consumption </v>
      </c>
      <c r="F91" s="574">
        <f>VLOOKUP($A91,'Pre-Assessment Estimator'!$A$10:$Z$225,F$2,FALSE)</f>
        <v>2</v>
      </c>
      <c r="G91" s="580" t="str">
        <f>IF(VLOOKUP($A91,'Pre-Assessment Estimator'!$A$10:$Z$225,G$2,FALSE)=0,"",VLOOKUP($A91,'Pre-Assessment Estimator'!$A$10:$Z$225,G$2,FALSE))</f>
        <v/>
      </c>
      <c r="H91" s="1222">
        <f>VLOOKUP($A91,'Pre-Assessment Estimator'!$A$10:$Z$225,H$2,FALSE)</f>
        <v>0</v>
      </c>
      <c r="I91" s="576" t="str">
        <f>VLOOKUP($A91,'Pre-Assessment Estimator'!$A$10:$Z$225,I$2,FALSE)</f>
        <v>N/A</v>
      </c>
      <c r="J91" s="577" t="str">
        <f>IF(VLOOKUP($A91,'Pre-Assessment Estimator'!$A$10:$Z$225,J$2,FALSE)=0,"",VLOOKUP($A91,'Pre-Assessment Estimator'!$A$10:$Z$225,J$2,FALSE))</f>
        <v/>
      </c>
      <c r="K91" s="577" t="str">
        <f>IF(VLOOKUP($A91,'Pre-Assessment Estimator'!$A$10:$Z$225,K$2,FALSE)=0,"",VLOOKUP($A91,'Pre-Assessment Estimator'!$A$10:$Z$225,K$2,FALSE))</f>
        <v/>
      </c>
      <c r="L91" s="578" t="str">
        <f>IF(VLOOKUP($A91,'Pre-Assessment Estimator'!$A$10:$Z$225,L$2,FALSE)=0,"",VLOOKUP($A91,'Pre-Assessment Estimator'!$A$10:$Z$225,L$2,FALSE))</f>
        <v/>
      </c>
      <c r="M91" s="579"/>
      <c r="N91" s="580" t="str">
        <f>IF(VLOOKUP($A91,'Pre-Assessment Estimator'!$A$10:$Z$225,N$2,FALSE)=0,"",VLOOKUP($A91,'Pre-Assessment Estimator'!$A$10:$Z$225,N$2,FALSE))</f>
        <v/>
      </c>
      <c r="O91" s="575">
        <f>VLOOKUP($A91,'Pre-Assessment Estimator'!$A$10:$Z$225,O$2,FALSE)</f>
        <v>0</v>
      </c>
      <c r="P91" s="574" t="str">
        <f>VLOOKUP($A91,'Pre-Assessment Estimator'!$A$10:$Z$225,P$2,FALSE)</f>
        <v>N/A</v>
      </c>
      <c r="Q91" s="577" t="str">
        <f>IF(VLOOKUP($A91,'Pre-Assessment Estimator'!$A$10:$Z$225,Q$2,FALSE)=0,"",VLOOKUP($A91,'Pre-Assessment Estimator'!$A$10:$Z$225,Q$2,FALSE))</f>
        <v/>
      </c>
      <c r="R91" s="577" t="str">
        <f>IF(VLOOKUP($A91,'Pre-Assessment Estimator'!$A$10:$Z$225,R$2,FALSE)=0,"",VLOOKUP($A91,'Pre-Assessment Estimator'!$A$10:$Z$225,R$2,FALSE))</f>
        <v/>
      </c>
      <c r="S91" s="578" t="str">
        <f>IF(VLOOKUP($A91,'Pre-Assessment Estimator'!$A$10:$Z$225,S$2,FALSE)=0,"",VLOOKUP($A91,'Pre-Assessment Estimator'!$A$10:$Z$225,S$2,FALSE))</f>
        <v/>
      </c>
      <c r="T91" s="581"/>
      <c r="U91" s="580" t="str">
        <f>IF(VLOOKUP($A91,'Pre-Assessment Estimator'!$A$10:$Z$225,U$2,FALSE)=0,"",VLOOKUP($A91,'Pre-Assessment Estimator'!$A$10:$Z$225,U$2,FALSE))</f>
        <v/>
      </c>
      <c r="V91" s="575">
        <f>VLOOKUP($A91,'Pre-Assessment Estimator'!$A$10:$Z$225,V$2,FALSE)</f>
        <v>0</v>
      </c>
      <c r="W91" s="574" t="str">
        <f>VLOOKUP($A91,'Pre-Assessment Estimator'!$A$10:$Z$225,W$2,FALSE)</f>
        <v>N/A</v>
      </c>
      <c r="X91" s="577" t="str">
        <f>IF(VLOOKUP($A91,'Pre-Assessment Estimator'!$A$10:$Z$225,X$2,FALSE)=0,"",VLOOKUP($A91,'Pre-Assessment Estimator'!$A$10:$Z$225,X$2,FALSE))</f>
        <v/>
      </c>
      <c r="Y91" s="577" t="str">
        <f>IF(VLOOKUP($A91,'Pre-Assessment Estimator'!$A$10:$Z$225,Y$2,FALSE)=0,"",VLOOKUP($A91,'Pre-Assessment Estimator'!$A$10:$Z$225,Y$2,FALSE))</f>
        <v/>
      </c>
      <c r="Z91" s="370" t="str">
        <f>IF(VLOOKUP($A91,'Pre-Assessment Estimator'!$A$10:$Z$225,Z$2,FALSE)=0,"",VLOOKUP($A91,'Pre-Assessment Estimator'!$A$10:$Z$225,Z$2,FALSE))</f>
        <v/>
      </c>
      <c r="AA91" s="696">
        <v>81</v>
      </c>
      <c r="AB91" s="577"/>
      <c r="AF91" s="386">
        <f t="shared" si="2"/>
        <v>1</v>
      </c>
    </row>
    <row r="92" spans="1:32" ht="30.75" thickBot="1" x14ac:dyDescent="0.3">
      <c r="A92" s="823">
        <v>83</v>
      </c>
      <c r="B92" s="1236" t="s">
        <v>67</v>
      </c>
      <c r="C92" s="1236"/>
      <c r="D92" s="1261"/>
      <c r="E92" s="1261" t="str">
        <f>VLOOKUP($A92,'Pre-Assessment Estimator'!$A$10:$Z$225,E$2,FALSE)</f>
        <v>Total performance energy</v>
      </c>
      <c r="F92" s="582">
        <f>VLOOKUP($A92,'Pre-Assessment Estimator'!$A$10:$Z$225,F$2,FALSE)</f>
        <v>27</v>
      </c>
      <c r="G92" s="584" t="str">
        <f>IF(VLOOKUP($A92,'Pre-Assessment Estimator'!$A$10:$Z$225,G$2,FALSE)=0,"",VLOOKUP($A92,'Pre-Assessment Estimator'!$A$10:$Z$225,G$2,FALSE))</f>
        <v/>
      </c>
      <c r="H92" s="583">
        <f>VLOOKUP($A92,'Pre-Assessment Estimator'!$A$10:$Z$225,H$2,FALSE)</f>
        <v>0</v>
      </c>
      <c r="I92" s="582" t="str">
        <f>VLOOKUP($A92,'Pre-Assessment Estimator'!$A$10:$Z$225,I$2,FALSE)</f>
        <v>Credits achieved: 0</v>
      </c>
      <c r="J92" s="1204" t="str">
        <f>IF(VLOOKUP($A92,'Pre-Assessment Estimator'!$A$10:$Z$225,J$2,FALSE)=0,"",VLOOKUP($A92,'Pre-Assessment Estimator'!$A$10:$Z$225,J$2,FALSE))</f>
        <v/>
      </c>
      <c r="K92" s="1204" t="str">
        <f>IF(VLOOKUP($A92,'Pre-Assessment Estimator'!$A$10:$Z$225,K$2,FALSE)=0,"",VLOOKUP($A92,'Pre-Assessment Estimator'!$A$10:$Z$225,K$2,FALSE))</f>
        <v/>
      </c>
      <c r="L92" s="1223" t="str">
        <f>IF(VLOOKUP($A92,'Pre-Assessment Estimator'!$A$10:$Z$225,L$2,FALSE)=0,"",VLOOKUP($A92,'Pre-Assessment Estimator'!$A$10:$Z$225,L$2,FALSE))</f>
        <v/>
      </c>
      <c r="M92" s="1224"/>
      <c r="N92" s="584" t="str">
        <f>IF(VLOOKUP($A92,'Pre-Assessment Estimator'!$A$10:$Z$225,N$2,FALSE)=0,"",VLOOKUP($A92,'Pre-Assessment Estimator'!$A$10:$Z$225,N$2,FALSE))</f>
        <v/>
      </c>
      <c r="O92" s="583">
        <f>VLOOKUP($A92,'Pre-Assessment Estimator'!$A$10:$Z$225,O$2,FALSE)</f>
        <v>0</v>
      </c>
      <c r="P92" s="582" t="str">
        <f>VLOOKUP($A92,'Pre-Assessment Estimator'!$A$10:$Z$225,P$2,FALSE)</f>
        <v>Credits achieved: 0</v>
      </c>
      <c r="Q92" s="1204" t="str">
        <f>IF(VLOOKUP($A92,'Pre-Assessment Estimator'!$A$10:$Z$225,Q$2,FALSE)=0,"",VLOOKUP($A92,'Pre-Assessment Estimator'!$A$10:$Z$225,Q$2,FALSE))</f>
        <v/>
      </c>
      <c r="R92" s="1204" t="str">
        <f>IF(VLOOKUP($A92,'Pre-Assessment Estimator'!$A$10:$Z$225,R$2,FALSE)=0,"",VLOOKUP($A92,'Pre-Assessment Estimator'!$A$10:$Z$225,R$2,FALSE))</f>
        <v/>
      </c>
      <c r="S92" s="1223" t="str">
        <f>IF(VLOOKUP($A92,'Pre-Assessment Estimator'!$A$10:$Z$225,S$2,FALSE)=0,"",VLOOKUP($A92,'Pre-Assessment Estimator'!$A$10:$Z$225,S$2,FALSE))</f>
        <v/>
      </c>
      <c r="T92" s="1225"/>
      <c r="U92" s="584" t="str">
        <f>IF(VLOOKUP($A92,'Pre-Assessment Estimator'!$A$10:$Z$225,U$2,FALSE)=0,"",VLOOKUP($A92,'Pre-Assessment Estimator'!$A$10:$Z$225,U$2,FALSE))</f>
        <v/>
      </c>
      <c r="V92" s="583">
        <f>VLOOKUP($A92,'Pre-Assessment Estimator'!$A$10:$Z$225,V$2,FALSE)</f>
        <v>0</v>
      </c>
      <c r="W92" s="582" t="str">
        <f>VLOOKUP($A92,'Pre-Assessment Estimator'!$A$10:$Z$225,W$2,FALSE)</f>
        <v>Credits achieved: 0</v>
      </c>
      <c r="X92" s="1204" t="str">
        <f>IF(VLOOKUP($A92,'Pre-Assessment Estimator'!$A$10:$Z$225,X$2,FALSE)=0,"",VLOOKUP($A92,'Pre-Assessment Estimator'!$A$10:$Z$225,X$2,FALSE))</f>
        <v/>
      </c>
      <c r="Y92" s="1204" t="str">
        <f>IF(VLOOKUP($A92,'Pre-Assessment Estimator'!$A$10:$Z$225,Y$2,FALSE)=0,"",VLOOKUP($A92,'Pre-Assessment Estimator'!$A$10:$Z$225,Y$2,FALSE))</f>
        <v/>
      </c>
      <c r="Z92" s="1226" t="str">
        <f>IF(VLOOKUP($A92,'Pre-Assessment Estimator'!$A$10:$Z$225,Z$2,FALSE)=0,"",VLOOKUP($A92,'Pre-Assessment Estimator'!$A$10:$Z$225,Z$2,FALSE))</f>
        <v/>
      </c>
      <c r="AA92" s="696">
        <v>82</v>
      </c>
      <c r="AB92" s="577" t="str">
        <f>IF(VLOOKUP($A92,'Pre-Assessment Estimator'!$A$10:$AB$225,AB$2,FALSE)=0,"",VLOOKUP($A92,'Pre-Assessment Estimator'!$A$10:$AB$225,AB$2,FALSE))</f>
        <v/>
      </c>
      <c r="AF92" s="386">
        <f t="shared" si="2"/>
        <v>1</v>
      </c>
    </row>
    <row r="93" spans="1:32" x14ac:dyDescent="0.25">
      <c r="A93" s="823">
        <v>84</v>
      </c>
      <c r="B93" s="1236" t="s">
        <v>67</v>
      </c>
      <c r="C93" s="1236"/>
      <c r="D93" s="585"/>
      <c r="E93" s="585"/>
      <c r="F93" s="586"/>
      <c r="G93" s="586"/>
      <c r="H93" s="586"/>
      <c r="I93" s="586"/>
      <c r="J93" s="585"/>
      <c r="K93" s="586"/>
      <c r="L93" s="585"/>
      <c r="M93" s="579"/>
      <c r="N93" s="586"/>
      <c r="O93" s="586"/>
      <c r="P93" s="586"/>
      <c r="Q93" s="585"/>
      <c r="R93" s="586"/>
      <c r="S93" s="585"/>
      <c r="T93" s="581"/>
      <c r="U93" s="586"/>
      <c r="V93" s="586"/>
      <c r="W93" s="586"/>
      <c r="X93" s="585"/>
      <c r="Y93" s="586"/>
      <c r="Z93" s="343"/>
      <c r="AA93" s="696">
        <v>83</v>
      </c>
      <c r="AB93" s="585"/>
      <c r="AC93" s="389"/>
      <c r="AD93" s="389"/>
      <c r="AE93" s="389"/>
      <c r="AF93" s="386">
        <f t="shared" si="2"/>
        <v>1</v>
      </c>
    </row>
    <row r="94" spans="1:32" ht="18.75" x14ac:dyDescent="0.25">
      <c r="A94" s="823">
        <v>85</v>
      </c>
      <c r="B94" s="1236" t="s">
        <v>68</v>
      </c>
      <c r="C94" s="1236"/>
      <c r="D94" s="587"/>
      <c r="E94" s="587" t="s">
        <v>68</v>
      </c>
      <c r="F94" s="570"/>
      <c r="G94" s="570"/>
      <c r="H94" s="570"/>
      <c r="I94" s="570"/>
      <c r="J94" s="571"/>
      <c r="K94" s="570"/>
      <c r="L94" s="571"/>
      <c r="M94" s="579"/>
      <c r="N94" s="570"/>
      <c r="O94" s="570"/>
      <c r="P94" s="570"/>
      <c r="Q94" s="571"/>
      <c r="R94" s="570"/>
      <c r="S94" s="571"/>
      <c r="T94" s="581"/>
      <c r="U94" s="570"/>
      <c r="V94" s="570"/>
      <c r="W94" s="570"/>
      <c r="X94" s="571"/>
      <c r="Y94" s="570"/>
      <c r="Z94" s="411"/>
      <c r="AA94" s="696">
        <v>84</v>
      </c>
      <c r="AB94" s="697"/>
      <c r="AF94" s="386">
        <f t="shared" si="2"/>
        <v>1</v>
      </c>
    </row>
    <row r="95" spans="1:32" x14ac:dyDescent="0.25">
      <c r="A95" s="823">
        <v>86</v>
      </c>
      <c r="B95" s="1236" t="s">
        <v>68</v>
      </c>
      <c r="C95" s="1236"/>
      <c r="D95" s="1258" t="str">
        <f>VLOOKUP($A95,'Pre-Assessment Estimator'!$A$10:$Z$225,D$2,FALSE)</f>
        <v>Tra 01</v>
      </c>
      <c r="E95" s="1258" t="str">
        <f>VLOOKUP($A95,'Pre-Assessment Estimator'!$A$10:$Z$225,E$2,FALSE)</f>
        <v>Tra 01 Transport assessment and travel plan</v>
      </c>
      <c r="F95" s="574">
        <f>VLOOKUP($A95,'Pre-Assessment Estimator'!$A$10:$Z$225,F$2,FALSE)</f>
        <v>3</v>
      </c>
      <c r="G95" s="580" t="str">
        <f>IF(VLOOKUP($A95,'Pre-Assessment Estimator'!$A$10:$Z$225,G$2,FALSE)=0,"",VLOOKUP($A95,'Pre-Assessment Estimator'!$A$10:$Z$225,G$2,FALSE))</f>
        <v/>
      </c>
      <c r="H95" s="1222" t="str">
        <f>VLOOKUP($A95,'Pre-Assessment Estimator'!$A$10:$Z$225,H$2,FALSE)</f>
        <v>0 c. 0 %</v>
      </c>
      <c r="I95" s="576" t="str">
        <f>VLOOKUP($A95,'Pre-Assessment Estimator'!$A$10:$Z$225,I$2,FALSE)</f>
        <v>N/A</v>
      </c>
      <c r="J95" s="577" t="str">
        <f>IF(VLOOKUP($A95,'Pre-Assessment Estimator'!$A$10:$Z$225,J$2,FALSE)=0,"",VLOOKUP($A95,'Pre-Assessment Estimator'!$A$10:$Z$225,J$2,FALSE))</f>
        <v/>
      </c>
      <c r="K95" s="577" t="str">
        <f>IF(VLOOKUP($A95,'Pre-Assessment Estimator'!$A$10:$Z$225,K$2,FALSE)=0,"",VLOOKUP($A95,'Pre-Assessment Estimator'!$A$10:$Z$225,K$2,FALSE))</f>
        <v/>
      </c>
      <c r="L95" s="578" t="str">
        <f>IF(VLOOKUP($A95,'Pre-Assessment Estimator'!$A$10:$Z$225,L$2,FALSE)=0,"",VLOOKUP($A95,'Pre-Assessment Estimator'!$A$10:$Z$225,L$2,FALSE))</f>
        <v/>
      </c>
      <c r="M95" s="579"/>
      <c r="N95" s="580" t="str">
        <f>IF(VLOOKUP($A95,'Pre-Assessment Estimator'!$A$10:$Z$225,N$2,FALSE)=0,"",VLOOKUP($A95,'Pre-Assessment Estimator'!$A$10:$Z$225,N$2,FALSE))</f>
        <v/>
      </c>
      <c r="O95" s="575" t="str">
        <f>VLOOKUP($A95,'Pre-Assessment Estimator'!$A$10:$Z$225,O$2,FALSE)</f>
        <v>0 c. 0 %</v>
      </c>
      <c r="P95" s="574" t="str">
        <f>VLOOKUP($A95,'Pre-Assessment Estimator'!$A$10:$Z$225,P$2,FALSE)</f>
        <v>N/A</v>
      </c>
      <c r="Q95" s="577" t="str">
        <f>IF(VLOOKUP($A95,'Pre-Assessment Estimator'!$A$10:$Z$225,Q$2,FALSE)=0,"",VLOOKUP($A95,'Pre-Assessment Estimator'!$A$10:$Z$225,Q$2,FALSE))</f>
        <v/>
      </c>
      <c r="R95" s="577" t="str">
        <f>IF(VLOOKUP($A95,'Pre-Assessment Estimator'!$A$10:$Z$225,R$2,FALSE)=0,"",VLOOKUP($A95,'Pre-Assessment Estimator'!$A$10:$Z$225,R$2,FALSE))</f>
        <v/>
      </c>
      <c r="S95" s="578" t="str">
        <f>IF(VLOOKUP($A95,'Pre-Assessment Estimator'!$A$10:$Z$225,S$2,FALSE)=0,"",VLOOKUP($A95,'Pre-Assessment Estimator'!$A$10:$Z$225,S$2,FALSE))</f>
        <v/>
      </c>
      <c r="T95" s="581"/>
      <c r="U95" s="580" t="str">
        <f>IF(VLOOKUP($A95,'Pre-Assessment Estimator'!$A$10:$Z$225,U$2,FALSE)=0,"",VLOOKUP($A95,'Pre-Assessment Estimator'!$A$10:$Z$225,U$2,FALSE))</f>
        <v/>
      </c>
      <c r="V95" s="575" t="str">
        <f>VLOOKUP($A95,'Pre-Assessment Estimator'!$A$10:$Z$225,V$2,FALSE)</f>
        <v>0 c. 0 %</v>
      </c>
      <c r="W95" s="574" t="str">
        <f>VLOOKUP($A95,'Pre-Assessment Estimator'!$A$10:$Z$225,W$2,FALSE)</f>
        <v>N/A</v>
      </c>
      <c r="X95" s="577" t="str">
        <f>IF(VLOOKUP($A95,'Pre-Assessment Estimator'!$A$10:$Z$225,X$2,FALSE)=0,"",VLOOKUP($A95,'Pre-Assessment Estimator'!$A$10:$Z$225,X$2,FALSE))</f>
        <v/>
      </c>
      <c r="Y95" s="577" t="str">
        <f>IF(VLOOKUP($A95,'Pre-Assessment Estimator'!$A$10:$Z$225,Y$2,FALSE)=0,"",VLOOKUP($A95,'Pre-Assessment Estimator'!$A$10:$Z$225,Y$2,FALSE))</f>
        <v/>
      </c>
      <c r="Z95" s="370" t="str">
        <f>IF(VLOOKUP($A95,'Pre-Assessment Estimator'!$A$10:$Z$225,Z$2,FALSE)=0,"",VLOOKUP($A95,'Pre-Assessment Estimator'!$A$10:$Z$225,Z$2,FALSE))</f>
        <v/>
      </c>
      <c r="AA95" s="696">
        <v>85</v>
      </c>
      <c r="AB95" s="577" t="str">
        <f>IF(VLOOKUP($A95,'Pre-Assessment Estimator'!$A$10:$AB$225,AB$2,FALSE)=0,"",VLOOKUP($A95,'Pre-Assessment Estimator'!$A$10:$AB$225,AB$2,FALSE))</f>
        <v/>
      </c>
      <c r="AF95" s="386">
        <f t="shared" si="2"/>
        <v>1</v>
      </c>
    </row>
    <row r="96" spans="1:32" x14ac:dyDescent="0.25">
      <c r="A96" s="823">
        <v>87</v>
      </c>
      <c r="B96" s="1236" t="s">
        <v>68</v>
      </c>
      <c r="C96" s="1236"/>
      <c r="D96" s="1259" t="str">
        <f>VLOOKUP($A96,'Pre-Assessment Estimator'!$A$10:$Z$225,D$2,FALSE)</f>
        <v>Tra 01</v>
      </c>
      <c r="E96" s="1260" t="str">
        <f>VLOOKUP($A96,'Pre-Assessment Estimator'!$A$10:$Z$225,E$2,FALSE)</f>
        <v xml:space="preserve">Transport assessment and travel plan </v>
      </c>
      <c r="F96" s="574">
        <f>VLOOKUP($A96,'Pre-Assessment Estimator'!$A$10:$Z$225,F$2,FALSE)</f>
        <v>2</v>
      </c>
      <c r="G96" s="580" t="str">
        <f>IF(VLOOKUP($A96,'Pre-Assessment Estimator'!$A$10:$Z$225,G$2,FALSE)=0,"",VLOOKUP($A96,'Pre-Assessment Estimator'!$A$10:$Z$225,G$2,FALSE))</f>
        <v/>
      </c>
      <c r="H96" s="1222">
        <f>VLOOKUP($A96,'Pre-Assessment Estimator'!$A$10:$Z$225,H$2,FALSE)</f>
        <v>0</v>
      </c>
      <c r="I96" s="576" t="str">
        <f>VLOOKUP($A96,'Pre-Assessment Estimator'!$A$10:$Z$225,I$2,FALSE)</f>
        <v>N/A</v>
      </c>
      <c r="J96" s="577" t="str">
        <f>IF(VLOOKUP($A96,'Pre-Assessment Estimator'!$A$10:$Z$225,J$2,FALSE)=0,"",VLOOKUP($A96,'Pre-Assessment Estimator'!$A$10:$Z$225,J$2,FALSE))</f>
        <v/>
      </c>
      <c r="K96" s="577" t="str">
        <f>IF(VLOOKUP($A96,'Pre-Assessment Estimator'!$A$10:$Z$225,K$2,FALSE)=0,"",VLOOKUP($A96,'Pre-Assessment Estimator'!$A$10:$Z$225,K$2,FALSE))</f>
        <v/>
      </c>
      <c r="L96" s="578" t="str">
        <f>IF(VLOOKUP($A96,'Pre-Assessment Estimator'!$A$10:$Z$225,L$2,FALSE)=0,"",VLOOKUP($A96,'Pre-Assessment Estimator'!$A$10:$Z$225,L$2,FALSE))</f>
        <v/>
      </c>
      <c r="M96" s="579"/>
      <c r="N96" s="580" t="str">
        <f>IF(VLOOKUP($A96,'Pre-Assessment Estimator'!$A$10:$Z$225,N$2,FALSE)=0,"",VLOOKUP($A96,'Pre-Assessment Estimator'!$A$10:$Z$225,N$2,FALSE))</f>
        <v/>
      </c>
      <c r="O96" s="575">
        <f>VLOOKUP($A96,'Pre-Assessment Estimator'!$A$10:$Z$225,O$2,FALSE)</f>
        <v>0</v>
      </c>
      <c r="P96" s="574" t="str">
        <f>VLOOKUP($A96,'Pre-Assessment Estimator'!$A$10:$Z$225,P$2,FALSE)</f>
        <v>N/A</v>
      </c>
      <c r="Q96" s="577" t="str">
        <f>IF(VLOOKUP($A96,'Pre-Assessment Estimator'!$A$10:$Z$225,Q$2,FALSE)=0,"",VLOOKUP($A96,'Pre-Assessment Estimator'!$A$10:$Z$225,Q$2,FALSE))</f>
        <v/>
      </c>
      <c r="R96" s="577" t="str">
        <f>IF(VLOOKUP($A96,'Pre-Assessment Estimator'!$A$10:$Z$225,R$2,FALSE)=0,"",VLOOKUP($A96,'Pre-Assessment Estimator'!$A$10:$Z$225,R$2,FALSE))</f>
        <v/>
      </c>
      <c r="S96" s="578" t="str">
        <f>IF(VLOOKUP($A96,'Pre-Assessment Estimator'!$A$10:$Z$225,S$2,FALSE)=0,"",VLOOKUP($A96,'Pre-Assessment Estimator'!$A$10:$Z$225,S$2,FALSE))</f>
        <v/>
      </c>
      <c r="T96" s="581"/>
      <c r="U96" s="580" t="str">
        <f>IF(VLOOKUP($A96,'Pre-Assessment Estimator'!$A$10:$Z$225,U$2,FALSE)=0,"",VLOOKUP($A96,'Pre-Assessment Estimator'!$A$10:$Z$225,U$2,FALSE))</f>
        <v/>
      </c>
      <c r="V96" s="575">
        <f>VLOOKUP($A96,'Pre-Assessment Estimator'!$A$10:$Z$225,V$2,FALSE)</f>
        <v>0</v>
      </c>
      <c r="W96" s="574" t="str">
        <f>VLOOKUP($A96,'Pre-Assessment Estimator'!$A$10:$Z$225,W$2,FALSE)</f>
        <v>N/A</v>
      </c>
      <c r="X96" s="577" t="str">
        <f>IF(VLOOKUP($A96,'Pre-Assessment Estimator'!$A$10:$Z$225,X$2,FALSE)=0,"",VLOOKUP($A96,'Pre-Assessment Estimator'!$A$10:$Z$225,X$2,FALSE))</f>
        <v/>
      </c>
      <c r="Y96" s="577" t="str">
        <f>IF(VLOOKUP($A96,'Pre-Assessment Estimator'!$A$10:$Z$225,Y$2,FALSE)=0,"",VLOOKUP($A96,'Pre-Assessment Estimator'!$A$10:$Z$225,Y$2,FALSE))</f>
        <v/>
      </c>
      <c r="Z96" s="370" t="str">
        <f>IF(VLOOKUP($A96,'Pre-Assessment Estimator'!$A$10:$Z$225,Z$2,FALSE)=0,"",VLOOKUP($A96,'Pre-Assessment Estimator'!$A$10:$Z$225,Z$2,FALSE))</f>
        <v/>
      </c>
      <c r="AA96" s="696">
        <v>86</v>
      </c>
      <c r="AB96" s="577" t="str">
        <f>IF(VLOOKUP($A96,'Pre-Assessment Estimator'!$A$10:$AB$225,AB$2,FALSE)=0,"",VLOOKUP($A96,'Pre-Assessment Estimator'!$A$10:$AB$225,AB$2,FALSE))</f>
        <v/>
      </c>
      <c r="AF96" s="386">
        <f t="shared" si="2"/>
        <v>1</v>
      </c>
    </row>
    <row r="97" spans="1:32" x14ac:dyDescent="0.25">
      <c r="A97" s="823">
        <v>88</v>
      </c>
      <c r="B97" s="1236" t="s">
        <v>68</v>
      </c>
      <c r="C97" s="1236"/>
      <c r="D97" s="1259" t="str">
        <f>VLOOKUP($A97,'Pre-Assessment Estimator'!$A$10:$Z$225,D$2,FALSE)</f>
        <v>Tra 01</v>
      </c>
      <c r="E97" s="1260" t="str">
        <f>VLOOKUP($A97,'Pre-Assessment Estimator'!$A$10:$Z$225,E$2,FALSE)</f>
        <v xml:space="preserve">Travel plan emissions evaluation </v>
      </c>
      <c r="F97" s="574">
        <f>VLOOKUP($A97,'Pre-Assessment Estimator'!$A$10:$Z$225,F$2,FALSE)</f>
        <v>1</v>
      </c>
      <c r="G97" s="580" t="str">
        <f>IF(VLOOKUP($A97,'Pre-Assessment Estimator'!$A$10:$Z$225,G$2,FALSE)=0,"",VLOOKUP($A97,'Pre-Assessment Estimator'!$A$10:$Z$225,G$2,FALSE))</f>
        <v/>
      </c>
      <c r="H97" s="1222">
        <f>VLOOKUP($A97,'Pre-Assessment Estimator'!$A$10:$Z$225,H$2,FALSE)</f>
        <v>0</v>
      </c>
      <c r="I97" s="576" t="str">
        <f>VLOOKUP($A97,'Pre-Assessment Estimator'!$A$10:$Z$225,I$2,FALSE)</f>
        <v>Very Good</v>
      </c>
      <c r="J97" s="577" t="str">
        <f>IF(VLOOKUP($A97,'Pre-Assessment Estimator'!$A$10:$Z$225,J$2,FALSE)=0,"",VLOOKUP($A97,'Pre-Assessment Estimator'!$A$10:$Z$225,J$2,FALSE))</f>
        <v/>
      </c>
      <c r="K97" s="577" t="str">
        <f>IF(VLOOKUP($A97,'Pre-Assessment Estimator'!$A$10:$Z$225,K$2,FALSE)=0,"",VLOOKUP($A97,'Pre-Assessment Estimator'!$A$10:$Z$225,K$2,FALSE))</f>
        <v/>
      </c>
      <c r="L97" s="578" t="str">
        <f>IF(VLOOKUP($A97,'Pre-Assessment Estimator'!$A$10:$Z$225,L$2,FALSE)=0,"",VLOOKUP($A97,'Pre-Assessment Estimator'!$A$10:$Z$225,L$2,FALSE))</f>
        <v/>
      </c>
      <c r="M97" s="579"/>
      <c r="N97" s="580" t="str">
        <f>IF(VLOOKUP($A97,'Pre-Assessment Estimator'!$A$10:$Z$225,N$2,FALSE)=0,"",VLOOKUP($A97,'Pre-Assessment Estimator'!$A$10:$Z$225,N$2,FALSE))</f>
        <v/>
      </c>
      <c r="O97" s="575">
        <f>VLOOKUP($A97,'Pre-Assessment Estimator'!$A$10:$Z$225,O$2,FALSE)</f>
        <v>0</v>
      </c>
      <c r="P97" s="574" t="str">
        <f>VLOOKUP($A97,'Pre-Assessment Estimator'!$A$10:$Z$225,P$2,FALSE)</f>
        <v>Very Good</v>
      </c>
      <c r="Q97" s="577" t="str">
        <f>IF(VLOOKUP($A97,'Pre-Assessment Estimator'!$A$10:$Z$225,Q$2,FALSE)=0,"",VLOOKUP($A97,'Pre-Assessment Estimator'!$A$10:$Z$225,Q$2,FALSE))</f>
        <v/>
      </c>
      <c r="R97" s="577" t="str">
        <f>IF(VLOOKUP($A97,'Pre-Assessment Estimator'!$A$10:$Z$225,R$2,FALSE)=0,"",VLOOKUP($A97,'Pre-Assessment Estimator'!$A$10:$Z$225,R$2,FALSE))</f>
        <v/>
      </c>
      <c r="S97" s="578" t="str">
        <f>IF(VLOOKUP($A97,'Pre-Assessment Estimator'!$A$10:$Z$225,S$2,FALSE)=0,"",VLOOKUP($A97,'Pre-Assessment Estimator'!$A$10:$Z$225,S$2,FALSE))</f>
        <v/>
      </c>
      <c r="T97" s="581"/>
      <c r="U97" s="580" t="str">
        <f>IF(VLOOKUP($A97,'Pre-Assessment Estimator'!$A$10:$Z$225,U$2,FALSE)=0,"",VLOOKUP($A97,'Pre-Assessment Estimator'!$A$10:$Z$225,U$2,FALSE))</f>
        <v/>
      </c>
      <c r="V97" s="575">
        <f>VLOOKUP($A97,'Pre-Assessment Estimator'!$A$10:$Z$225,V$2,FALSE)</f>
        <v>0</v>
      </c>
      <c r="W97" s="574" t="str">
        <f>VLOOKUP($A97,'Pre-Assessment Estimator'!$A$10:$Z$225,W$2,FALSE)</f>
        <v>Very Good</v>
      </c>
      <c r="X97" s="577" t="str">
        <f>IF(VLOOKUP($A97,'Pre-Assessment Estimator'!$A$10:$Z$225,X$2,FALSE)=0,"",VLOOKUP($A97,'Pre-Assessment Estimator'!$A$10:$Z$225,X$2,FALSE))</f>
        <v/>
      </c>
      <c r="Y97" s="577" t="str">
        <f>IF(VLOOKUP($A97,'Pre-Assessment Estimator'!$A$10:$Z$225,Y$2,FALSE)=0,"",VLOOKUP($A97,'Pre-Assessment Estimator'!$A$10:$Z$225,Y$2,FALSE))</f>
        <v/>
      </c>
      <c r="Z97" s="370" t="str">
        <f>IF(VLOOKUP($A97,'Pre-Assessment Estimator'!$A$10:$Z$225,Z$2,FALSE)=0,"",VLOOKUP($A97,'Pre-Assessment Estimator'!$A$10:$Z$225,Z$2,FALSE))</f>
        <v/>
      </c>
      <c r="AA97" s="696">
        <v>87</v>
      </c>
      <c r="AB97" s="577" t="str">
        <f>IF(VLOOKUP($A97,'Pre-Assessment Estimator'!$A$10:$AB$225,AB$2,FALSE)=0,"",VLOOKUP($A97,'Pre-Assessment Estimator'!$A$10:$AB$225,AB$2,FALSE))</f>
        <v/>
      </c>
      <c r="AF97" s="386">
        <f t="shared" si="2"/>
        <v>1</v>
      </c>
    </row>
    <row r="98" spans="1:32" x14ac:dyDescent="0.25">
      <c r="A98" s="823">
        <v>89</v>
      </c>
      <c r="B98" s="1236" t="s">
        <v>68</v>
      </c>
      <c r="C98" s="1236"/>
      <c r="D98" s="1258" t="str">
        <f>VLOOKUP($A98,'Pre-Assessment Estimator'!$A$10:$Z$225,D$2,FALSE)</f>
        <v>Tra 02</v>
      </c>
      <c r="E98" s="1258" t="str">
        <f>VLOOKUP($A98,'Pre-Assessment Estimator'!$A$10:$Z$225,E$2,FALSE)</f>
        <v>Tra 02 Sustainable transport measures</v>
      </c>
      <c r="F98" s="574">
        <f>VLOOKUP($A98,'Pre-Assessment Estimator'!$A$10:$Z$225,F$2,FALSE)</f>
        <v>10</v>
      </c>
      <c r="G98" s="580" t="str">
        <f>IF(VLOOKUP($A98,'Pre-Assessment Estimator'!$A$10:$Z$225,G$2,FALSE)=0,"",VLOOKUP($A98,'Pre-Assessment Estimator'!$A$10:$Z$225,G$2,FALSE))</f>
        <v/>
      </c>
      <c r="H98" s="1222" t="str">
        <f>VLOOKUP($A98,'Pre-Assessment Estimator'!$A$10:$Z$225,H$2,FALSE)</f>
        <v>0 c. 0 %</v>
      </c>
      <c r="I98" s="576" t="str">
        <f>VLOOKUP($A98,'Pre-Assessment Estimator'!$A$10:$Z$225,I$2,FALSE)</f>
        <v>N/A</v>
      </c>
      <c r="J98" s="577" t="str">
        <f>IF(VLOOKUP($A98,'Pre-Assessment Estimator'!$A$10:$Z$225,J$2,FALSE)=0,"",VLOOKUP($A98,'Pre-Assessment Estimator'!$A$10:$Z$225,J$2,FALSE))</f>
        <v/>
      </c>
      <c r="K98" s="577" t="str">
        <f>IF(VLOOKUP($A98,'Pre-Assessment Estimator'!$A$10:$Z$225,K$2,FALSE)=0,"",VLOOKUP($A98,'Pre-Assessment Estimator'!$A$10:$Z$225,K$2,FALSE))</f>
        <v/>
      </c>
      <c r="L98" s="578" t="str">
        <f>IF(VLOOKUP($A98,'Pre-Assessment Estimator'!$A$10:$Z$225,L$2,FALSE)=0,"",VLOOKUP($A98,'Pre-Assessment Estimator'!$A$10:$Z$225,L$2,FALSE))</f>
        <v/>
      </c>
      <c r="M98" s="579"/>
      <c r="N98" s="580" t="str">
        <f>IF(VLOOKUP($A98,'Pre-Assessment Estimator'!$A$10:$Z$225,N$2,FALSE)=0,"",VLOOKUP($A98,'Pre-Assessment Estimator'!$A$10:$Z$225,N$2,FALSE))</f>
        <v/>
      </c>
      <c r="O98" s="575" t="str">
        <f>VLOOKUP($A98,'Pre-Assessment Estimator'!$A$10:$Z$225,O$2,FALSE)</f>
        <v>0 c. 0 %</v>
      </c>
      <c r="P98" s="574" t="str">
        <f>VLOOKUP($A98,'Pre-Assessment Estimator'!$A$10:$Z$225,P$2,FALSE)</f>
        <v>N/A</v>
      </c>
      <c r="Q98" s="577" t="str">
        <f>IF(VLOOKUP($A98,'Pre-Assessment Estimator'!$A$10:$Z$225,Q$2,FALSE)=0,"",VLOOKUP($A98,'Pre-Assessment Estimator'!$A$10:$Z$225,Q$2,FALSE))</f>
        <v/>
      </c>
      <c r="R98" s="577" t="str">
        <f>IF(VLOOKUP($A98,'Pre-Assessment Estimator'!$A$10:$Z$225,R$2,FALSE)=0,"",VLOOKUP($A98,'Pre-Assessment Estimator'!$A$10:$Z$225,R$2,FALSE))</f>
        <v/>
      </c>
      <c r="S98" s="578" t="str">
        <f>IF(VLOOKUP($A98,'Pre-Assessment Estimator'!$A$10:$Z$225,S$2,FALSE)=0,"",VLOOKUP($A98,'Pre-Assessment Estimator'!$A$10:$Z$225,S$2,FALSE))</f>
        <v/>
      </c>
      <c r="T98" s="581"/>
      <c r="U98" s="580" t="str">
        <f>IF(VLOOKUP($A98,'Pre-Assessment Estimator'!$A$10:$Z$225,U$2,FALSE)=0,"",VLOOKUP($A98,'Pre-Assessment Estimator'!$A$10:$Z$225,U$2,FALSE))</f>
        <v/>
      </c>
      <c r="V98" s="575" t="str">
        <f>VLOOKUP($A98,'Pre-Assessment Estimator'!$A$10:$Z$225,V$2,FALSE)</f>
        <v>0 c. 0 %</v>
      </c>
      <c r="W98" s="574" t="str">
        <f>VLOOKUP($A98,'Pre-Assessment Estimator'!$A$10:$Z$225,W$2,FALSE)</f>
        <v>N/A</v>
      </c>
      <c r="X98" s="577" t="str">
        <f>IF(VLOOKUP($A98,'Pre-Assessment Estimator'!$A$10:$Z$225,X$2,FALSE)=0,"",VLOOKUP($A98,'Pre-Assessment Estimator'!$A$10:$Z$225,X$2,FALSE))</f>
        <v/>
      </c>
      <c r="Y98" s="577" t="str">
        <f>IF(VLOOKUP($A98,'Pre-Assessment Estimator'!$A$10:$Z$225,Y$2,FALSE)=0,"",VLOOKUP($A98,'Pre-Assessment Estimator'!$A$10:$Z$225,Y$2,FALSE))</f>
        <v/>
      </c>
      <c r="Z98" s="370" t="str">
        <f>IF(VLOOKUP($A98,'Pre-Assessment Estimator'!$A$10:$Z$225,Z$2,FALSE)=0,"",VLOOKUP($A98,'Pre-Assessment Estimator'!$A$10:$Z$225,Z$2,FALSE))</f>
        <v/>
      </c>
      <c r="AA98" s="696">
        <v>88</v>
      </c>
      <c r="AB98" s="577" t="str">
        <f>IF(VLOOKUP($A98,'Pre-Assessment Estimator'!$A$10:$AB$225,AB$2,FALSE)=0,"",VLOOKUP($A98,'Pre-Assessment Estimator'!$A$10:$AB$225,AB$2,FALSE))</f>
        <v/>
      </c>
      <c r="AF98" s="386">
        <f t="shared" si="2"/>
        <v>1</v>
      </c>
    </row>
    <row r="99" spans="1:32" x14ac:dyDescent="0.25">
      <c r="A99" s="823">
        <v>90</v>
      </c>
      <c r="B99" s="1236" t="s">
        <v>68</v>
      </c>
      <c r="C99" s="1236"/>
      <c r="D99" s="1259" t="str">
        <f>VLOOKUP($A99,'Pre-Assessment Estimator'!$A$10:$Z$225,D$2,FALSE)</f>
        <v>Tra 02</v>
      </c>
      <c r="E99" s="1260" t="str">
        <f>VLOOKUP($A99,'Pre-Assessment Estimator'!$A$10:$Z$225,E$2,FALSE)</f>
        <v>Pre-requisite: transport assessment and travel plan</v>
      </c>
      <c r="F99" s="574" t="str">
        <f>VLOOKUP($A99,'Pre-Assessment Estimator'!$A$10:$Z$225,F$2,FALSE)</f>
        <v>Yes/No</v>
      </c>
      <c r="G99" s="580" t="str">
        <f>IF(VLOOKUP($A99,'Pre-Assessment Estimator'!$A$10:$Z$225,G$2,FALSE)=0,"",VLOOKUP($A99,'Pre-Assessment Estimator'!$A$10:$Z$225,G$2,FALSE))</f>
        <v/>
      </c>
      <c r="H99" s="1222" t="str">
        <f>VLOOKUP($A99,'Pre-Assessment Estimator'!$A$10:$Z$225,H$2,FALSE)</f>
        <v>-</v>
      </c>
      <c r="I99" s="576" t="str">
        <f>VLOOKUP($A99,'Pre-Assessment Estimator'!$A$10:$Z$225,I$2,FALSE)</f>
        <v>N/A</v>
      </c>
      <c r="J99" s="577" t="str">
        <f>IF(VLOOKUP($A99,'Pre-Assessment Estimator'!$A$10:$Z$225,J$2,FALSE)=0,"",VLOOKUP($A99,'Pre-Assessment Estimator'!$A$10:$Z$225,J$2,FALSE))</f>
        <v/>
      </c>
      <c r="K99" s="577" t="str">
        <f>IF(VLOOKUP($A99,'Pre-Assessment Estimator'!$A$10:$Z$225,K$2,FALSE)=0,"",VLOOKUP($A99,'Pre-Assessment Estimator'!$A$10:$Z$225,K$2,FALSE))</f>
        <v/>
      </c>
      <c r="L99" s="578" t="str">
        <f>IF(VLOOKUP($A99,'Pre-Assessment Estimator'!$A$10:$Z$225,L$2,FALSE)=0,"",VLOOKUP($A99,'Pre-Assessment Estimator'!$A$10:$Z$225,L$2,FALSE))</f>
        <v/>
      </c>
      <c r="M99" s="579"/>
      <c r="N99" s="580" t="str">
        <f>IF(VLOOKUP($A99,'Pre-Assessment Estimator'!$A$10:$Z$225,N$2,FALSE)=0,"",VLOOKUP($A99,'Pre-Assessment Estimator'!$A$10:$Z$225,N$2,FALSE))</f>
        <v/>
      </c>
      <c r="O99" s="575" t="str">
        <f>VLOOKUP($A99,'Pre-Assessment Estimator'!$A$10:$Z$225,O$2,FALSE)</f>
        <v>-</v>
      </c>
      <c r="P99" s="574" t="str">
        <f>VLOOKUP($A99,'Pre-Assessment Estimator'!$A$10:$Z$225,P$2,FALSE)</f>
        <v>N/A</v>
      </c>
      <c r="Q99" s="577" t="str">
        <f>IF(VLOOKUP($A99,'Pre-Assessment Estimator'!$A$10:$Z$225,Q$2,FALSE)=0,"",VLOOKUP($A99,'Pre-Assessment Estimator'!$A$10:$Z$225,Q$2,FALSE))</f>
        <v/>
      </c>
      <c r="R99" s="577" t="str">
        <f>IF(VLOOKUP($A99,'Pre-Assessment Estimator'!$A$10:$Z$225,R$2,FALSE)=0,"",VLOOKUP($A99,'Pre-Assessment Estimator'!$A$10:$Z$225,R$2,FALSE))</f>
        <v/>
      </c>
      <c r="S99" s="578" t="str">
        <f>IF(VLOOKUP($A99,'Pre-Assessment Estimator'!$A$10:$Z$225,S$2,FALSE)=0,"",VLOOKUP($A99,'Pre-Assessment Estimator'!$A$10:$Z$225,S$2,FALSE))</f>
        <v/>
      </c>
      <c r="T99" s="581"/>
      <c r="U99" s="580" t="str">
        <f>IF(VLOOKUP($A99,'Pre-Assessment Estimator'!$A$10:$Z$225,U$2,FALSE)=0,"",VLOOKUP($A99,'Pre-Assessment Estimator'!$A$10:$Z$225,U$2,FALSE))</f>
        <v/>
      </c>
      <c r="V99" s="575" t="str">
        <f>VLOOKUP($A99,'Pre-Assessment Estimator'!$A$10:$Z$225,V$2,FALSE)</f>
        <v>-</v>
      </c>
      <c r="W99" s="574" t="str">
        <f>VLOOKUP($A99,'Pre-Assessment Estimator'!$A$10:$Z$225,W$2,FALSE)</f>
        <v>N/A</v>
      </c>
      <c r="X99" s="577" t="str">
        <f>IF(VLOOKUP($A99,'Pre-Assessment Estimator'!$A$10:$Z$225,X$2,FALSE)=0,"",VLOOKUP($A99,'Pre-Assessment Estimator'!$A$10:$Z$225,X$2,FALSE))</f>
        <v/>
      </c>
      <c r="Y99" s="577" t="str">
        <f>IF(VLOOKUP($A99,'Pre-Assessment Estimator'!$A$10:$Z$225,Y$2,FALSE)=0,"",VLOOKUP($A99,'Pre-Assessment Estimator'!$A$10:$Z$225,Y$2,FALSE))</f>
        <v/>
      </c>
      <c r="Z99" s="370" t="str">
        <f>IF(VLOOKUP($A99,'Pre-Assessment Estimator'!$A$10:$Z$225,Z$2,FALSE)=0,"",VLOOKUP($A99,'Pre-Assessment Estimator'!$A$10:$Z$225,Z$2,FALSE))</f>
        <v/>
      </c>
      <c r="AA99" s="696">
        <v>89</v>
      </c>
      <c r="AB99" s="577" t="str">
        <f>IF(VLOOKUP($A99,'Pre-Assessment Estimator'!$A$10:$AB$225,AB$2,FALSE)=0,"",VLOOKUP($A99,'Pre-Assessment Estimator'!$A$10:$AB$225,AB$2,FALSE))</f>
        <v/>
      </c>
      <c r="AF99" s="386">
        <f t="shared" si="2"/>
        <v>1</v>
      </c>
    </row>
    <row r="100" spans="1:32" x14ac:dyDescent="0.25">
      <c r="A100" s="823">
        <v>91</v>
      </c>
      <c r="B100" s="1236" t="s">
        <v>68</v>
      </c>
      <c r="C100" s="1236"/>
      <c r="D100" s="1259" t="str">
        <f>VLOOKUP($A100,'Pre-Assessment Estimator'!$A$10:$Z$225,D$2,FALSE)</f>
        <v>Tra 02</v>
      </c>
      <c r="E100" s="1260" t="str">
        <f>VLOOKUP($A100,'Pre-Assessment Estimator'!$A$10:$Z$225,E$2,FALSE)</f>
        <v xml:space="preserve">Transport options implementation </v>
      </c>
      <c r="F100" s="574">
        <f>VLOOKUP($A100,'Pre-Assessment Estimator'!$A$10:$Z$225,F$2,FALSE)</f>
        <v>10</v>
      </c>
      <c r="G100" s="580" t="str">
        <f>IF(VLOOKUP($A100,'Pre-Assessment Estimator'!$A$10:$Z$225,G$2,FALSE)=0,"",VLOOKUP($A100,'Pre-Assessment Estimator'!$A$10:$Z$225,G$2,FALSE))</f>
        <v/>
      </c>
      <c r="H100" s="1222">
        <f>VLOOKUP($A100,'Pre-Assessment Estimator'!$A$10:$Z$225,H$2,FALSE)</f>
        <v>0</v>
      </c>
      <c r="I100" s="576" t="str">
        <f>VLOOKUP($A100,'Pre-Assessment Estimator'!$A$10:$Z$225,I$2,FALSE)</f>
        <v>N/A</v>
      </c>
      <c r="J100" s="577" t="str">
        <f>IF(VLOOKUP($A100,'Pre-Assessment Estimator'!$A$10:$Z$225,J$2,FALSE)=0,"",VLOOKUP($A100,'Pre-Assessment Estimator'!$A$10:$Z$225,J$2,FALSE))</f>
        <v/>
      </c>
      <c r="K100" s="577" t="str">
        <f>IF(VLOOKUP($A100,'Pre-Assessment Estimator'!$A$10:$Z$225,K$2,FALSE)=0,"",VLOOKUP($A100,'Pre-Assessment Estimator'!$A$10:$Z$225,K$2,FALSE))</f>
        <v/>
      </c>
      <c r="L100" s="578" t="str">
        <f>IF(VLOOKUP($A100,'Pre-Assessment Estimator'!$A$10:$Z$225,L$2,FALSE)=0,"",VLOOKUP($A100,'Pre-Assessment Estimator'!$A$10:$Z$225,L$2,FALSE))</f>
        <v/>
      </c>
      <c r="M100" s="579"/>
      <c r="N100" s="580" t="str">
        <f>IF(VLOOKUP($A100,'Pre-Assessment Estimator'!$A$10:$Z$225,N$2,FALSE)=0,"",VLOOKUP($A100,'Pre-Assessment Estimator'!$A$10:$Z$225,N$2,FALSE))</f>
        <v/>
      </c>
      <c r="O100" s="575">
        <f>VLOOKUP($A100,'Pre-Assessment Estimator'!$A$10:$Z$225,O$2,FALSE)</f>
        <v>0</v>
      </c>
      <c r="P100" s="574" t="str">
        <f>VLOOKUP($A100,'Pre-Assessment Estimator'!$A$10:$Z$225,P$2,FALSE)</f>
        <v>N/A</v>
      </c>
      <c r="Q100" s="577" t="str">
        <f>IF(VLOOKUP($A100,'Pre-Assessment Estimator'!$A$10:$Z$225,Q$2,FALSE)=0,"",VLOOKUP($A100,'Pre-Assessment Estimator'!$A$10:$Z$225,Q$2,FALSE))</f>
        <v/>
      </c>
      <c r="R100" s="577" t="str">
        <f>IF(VLOOKUP($A100,'Pre-Assessment Estimator'!$A$10:$Z$225,R$2,FALSE)=0,"",VLOOKUP($A100,'Pre-Assessment Estimator'!$A$10:$Z$225,R$2,FALSE))</f>
        <v/>
      </c>
      <c r="S100" s="578" t="str">
        <f>IF(VLOOKUP($A100,'Pre-Assessment Estimator'!$A$10:$Z$225,S$2,FALSE)=0,"",VLOOKUP($A100,'Pre-Assessment Estimator'!$A$10:$Z$225,S$2,FALSE))</f>
        <v/>
      </c>
      <c r="T100" s="581"/>
      <c r="U100" s="580" t="str">
        <f>IF(VLOOKUP($A100,'Pre-Assessment Estimator'!$A$10:$Z$225,U$2,FALSE)=0,"",VLOOKUP($A100,'Pre-Assessment Estimator'!$A$10:$Z$225,U$2,FALSE))</f>
        <v/>
      </c>
      <c r="V100" s="575">
        <f>VLOOKUP($A100,'Pre-Assessment Estimator'!$A$10:$Z$225,V$2,FALSE)</f>
        <v>0</v>
      </c>
      <c r="W100" s="574" t="str">
        <f>VLOOKUP($A100,'Pre-Assessment Estimator'!$A$10:$Z$225,W$2,FALSE)</f>
        <v>N/A</v>
      </c>
      <c r="X100" s="577" t="str">
        <f>IF(VLOOKUP($A100,'Pre-Assessment Estimator'!$A$10:$Z$225,X$2,FALSE)=0,"",VLOOKUP($A100,'Pre-Assessment Estimator'!$A$10:$Z$225,X$2,FALSE))</f>
        <v/>
      </c>
      <c r="Y100" s="577" t="str">
        <f>IF(VLOOKUP($A100,'Pre-Assessment Estimator'!$A$10:$Z$225,Y$2,FALSE)=0,"",VLOOKUP($A100,'Pre-Assessment Estimator'!$A$10:$Z$225,Y$2,FALSE))</f>
        <v/>
      </c>
      <c r="Z100" s="370" t="str">
        <f>IF(VLOOKUP($A100,'Pre-Assessment Estimator'!$A$10:$Z$225,Z$2,FALSE)=0,"",VLOOKUP($A100,'Pre-Assessment Estimator'!$A$10:$Z$225,Z$2,FALSE))</f>
        <v/>
      </c>
      <c r="AA100" s="696">
        <v>90</v>
      </c>
      <c r="AB100" s="577" t="str">
        <f>IF(VLOOKUP($A100,'Pre-Assessment Estimator'!$A$10:$AB$225,AB$2,FALSE)=0,"",VLOOKUP($A100,'Pre-Assessment Estimator'!$A$10:$AB$225,AB$2,FALSE))</f>
        <v/>
      </c>
      <c r="AF100" s="386">
        <f t="shared" si="2"/>
        <v>1</v>
      </c>
    </row>
    <row r="101" spans="1:32" ht="30.75" thickBot="1" x14ac:dyDescent="0.3">
      <c r="A101" s="823">
        <v>92</v>
      </c>
      <c r="B101" s="1236" t="s">
        <v>68</v>
      </c>
      <c r="C101" s="1236"/>
      <c r="D101" s="1261"/>
      <c r="E101" s="1261" t="str">
        <f>VLOOKUP($A101,'Pre-Assessment Estimator'!$A$10:$Z$225,E$2,FALSE)</f>
        <v>Total performance transport</v>
      </c>
      <c r="F101" s="582">
        <f>VLOOKUP($A101,'Pre-Assessment Estimator'!$A$10:$Z$225,F$2,FALSE)</f>
        <v>13</v>
      </c>
      <c r="G101" s="584" t="str">
        <f>IF(VLOOKUP($A101,'Pre-Assessment Estimator'!$A$10:$Z$225,G$2,FALSE)=0,"",VLOOKUP($A101,'Pre-Assessment Estimator'!$A$10:$Z$225,G$2,FALSE))</f>
        <v/>
      </c>
      <c r="H101" s="583">
        <f>VLOOKUP($A101,'Pre-Assessment Estimator'!$A$10:$Z$225,H$2,FALSE)</f>
        <v>0</v>
      </c>
      <c r="I101" s="582" t="str">
        <f>VLOOKUP($A101,'Pre-Assessment Estimator'!$A$10:$Z$225,I$2,FALSE)</f>
        <v>Credits achieved: 0</v>
      </c>
      <c r="J101" s="1204" t="str">
        <f>IF(VLOOKUP($A101,'Pre-Assessment Estimator'!$A$10:$Z$225,J$2,FALSE)=0,"",VLOOKUP($A101,'Pre-Assessment Estimator'!$A$10:$Z$225,J$2,FALSE))</f>
        <v/>
      </c>
      <c r="K101" s="1204" t="str">
        <f>IF(VLOOKUP($A101,'Pre-Assessment Estimator'!$A$10:$Z$225,K$2,FALSE)=0,"",VLOOKUP($A101,'Pre-Assessment Estimator'!$A$10:$Z$225,K$2,FALSE))</f>
        <v/>
      </c>
      <c r="L101" s="1223" t="str">
        <f>IF(VLOOKUP($A101,'Pre-Assessment Estimator'!$A$10:$Z$225,L$2,FALSE)=0,"",VLOOKUP($A101,'Pre-Assessment Estimator'!$A$10:$Z$225,L$2,FALSE))</f>
        <v/>
      </c>
      <c r="M101" s="1224"/>
      <c r="N101" s="584" t="str">
        <f>IF(VLOOKUP($A101,'Pre-Assessment Estimator'!$A$10:$Z$225,N$2,FALSE)=0,"",VLOOKUP($A101,'Pre-Assessment Estimator'!$A$10:$Z$225,N$2,FALSE))</f>
        <v/>
      </c>
      <c r="O101" s="583">
        <f>VLOOKUP($A101,'Pre-Assessment Estimator'!$A$10:$Z$225,O$2,FALSE)</f>
        <v>0</v>
      </c>
      <c r="P101" s="582" t="str">
        <f>VLOOKUP($A101,'Pre-Assessment Estimator'!$A$10:$Z$225,P$2,FALSE)</f>
        <v>Credits achieved: 0</v>
      </c>
      <c r="Q101" s="1204" t="str">
        <f>IF(VLOOKUP($A101,'Pre-Assessment Estimator'!$A$10:$Z$225,Q$2,FALSE)=0,"",VLOOKUP($A101,'Pre-Assessment Estimator'!$A$10:$Z$225,Q$2,FALSE))</f>
        <v/>
      </c>
      <c r="R101" s="1204" t="str">
        <f>IF(VLOOKUP($A101,'Pre-Assessment Estimator'!$A$10:$Z$225,R$2,FALSE)=0,"",VLOOKUP($A101,'Pre-Assessment Estimator'!$A$10:$Z$225,R$2,FALSE))</f>
        <v/>
      </c>
      <c r="S101" s="1223" t="str">
        <f>IF(VLOOKUP($A101,'Pre-Assessment Estimator'!$A$10:$Z$225,S$2,FALSE)=0,"",VLOOKUP($A101,'Pre-Assessment Estimator'!$A$10:$Z$225,S$2,FALSE))</f>
        <v/>
      </c>
      <c r="T101" s="1225"/>
      <c r="U101" s="584" t="str">
        <f>IF(VLOOKUP($A101,'Pre-Assessment Estimator'!$A$10:$Z$225,U$2,FALSE)=0,"",VLOOKUP($A101,'Pre-Assessment Estimator'!$A$10:$Z$225,U$2,FALSE))</f>
        <v/>
      </c>
      <c r="V101" s="583">
        <f>VLOOKUP($A101,'Pre-Assessment Estimator'!$A$10:$Z$225,V$2,FALSE)</f>
        <v>0</v>
      </c>
      <c r="W101" s="582" t="str">
        <f>VLOOKUP($A101,'Pre-Assessment Estimator'!$A$10:$Z$225,W$2,FALSE)</f>
        <v>Credits achieved: 0</v>
      </c>
      <c r="X101" s="1204" t="str">
        <f>IF(VLOOKUP($A101,'Pre-Assessment Estimator'!$A$10:$Z$225,X$2,FALSE)=0,"",VLOOKUP($A101,'Pre-Assessment Estimator'!$A$10:$Z$225,X$2,FALSE))</f>
        <v/>
      </c>
      <c r="Y101" s="1204" t="str">
        <f>IF(VLOOKUP($A101,'Pre-Assessment Estimator'!$A$10:$Z$225,Y$2,FALSE)=0,"",VLOOKUP($A101,'Pre-Assessment Estimator'!$A$10:$Z$225,Y$2,FALSE))</f>
        <v/>
      </c>
      <c r="Z101" s="1226" t="str">
        <f>IF(VLOOKUP($A101,'Pre-Assessment Estimator'!$A$10:$Z$225,Z$2,FALSE)=0,"",VLOOKUP($A101,'Pre-Assessment Estimator'!$A$10:$Z$225,Z$2,FALSE))</f>
        <v/>
      </c>
      <c r="AA101" s="696">
        <v>91</v>
      </c>
      <c r="AB101" s="577" t="str">
        <f>IF(VLOOKUP($A101,'Pre-Assessment Estimator'!$A$10:$AB$225,AB$2,FALSE)=0,"",VLOOKUP($A101,'Pre-Assessment Estimator'!$A$10:$AB$225,AB$2,FALSE))</f>
        <v/>
      </c>
      <c r="AF101" s="386">
        <f t="shared" si="2"/>
        <v>1</v>
      </c>
    </row>
    <row r="102" spans="1:32" x14ac:dyDescent="0.25">
      <c r="A102" s="823">
        <v>93</v>
      </c>
      <c r="B102" s="1236" t="s">
        <v>68</v>
      </c>
      <c r="C102" s="1236"/>
      <c r="D102" s="585"/>
      <c r="E102" s="585"/>
      <c r="F102" s="586"/>
      <c r="G102" s="586"/>
      <c r="H102" s="586"/>
      <c r="I102" s="586"/>
      <c r="J102" s="585"/>
      <c r="K102" s="586"/>
      <c r="L102" s="585"/>
      <c r="M102" s="579"/>
      <c r="N102" s="586"/>
      <c r="O102" s="586"/>
      <c r="P102" s="586"/>
      <c r="Q102" s="585"/>
      <c r="R102" s="586"/>
      <c r="S102" s="585"/>
      <c r="T102" s="581"/>
      <c r="U102" s="586"/>
      <c r="V102" s="586"/>
      <c r="W102" s="586"/>
      <c r="X102" s="585"/>
      <c r="Y102" s="586"/>
      <c r="Z102" s="343"/>
      <c r="AA102" s="696">
        <v>92</v>
      </c>
      <c r="AB102" s="585"/>
      <c r="AC102" s="389"/>
      <c r="AD102" s="389"/>
      <c r="AE102" s="389"/>
      <c r="AF102" s="386">
        <f t="shared" si="2"/>
        <v>1</v>
      </c>
    </row>
    <row r="103" spans="1:32" ht="18.75" x14ac:dyDescent="0.25">
      <c r="A103" s="823">
        <v>94</v>
      </c>
      <c r="B103" s="823" t="s">
        <v>60</v>
      </c>
      <c r="C103" s="823"/>
      <c r="D103" s="587"/>
      <c r="E103" s="587" t="s">
        <v>60</v>
      </c>
      <c r="F103" s="570"/>
      <c r="G103" s="570"/>
      <c r="H103" s="570"/>
      <c r="I103" s="570"/>
      <c r="J103" s="571"/>
      <c r="K103" s="570"/>
      <c r="L103" s="571"/>
      <c r="M103" s="579"/>
      <c r="N103" s="570"/>
      <c r="O103" s="570"/>
      <c r="P103" s="570"/>
      <c r="Q103" s="571"/>
      <c r="R103" s="570"/>
      <c r="S103" s="571"/>
      <c r="T103" s="581"/>
      <c r="U103" s="570"/>
      <c r="V103" s="570"/>
      <c r="W103" s="570"/>
      <c r="X103" s="571"/>
      <c r="Y103" s="570"/>
      <c r="Z103" s="411"/>
      <c r="AA103" s="696">
        <v>93</v>
      </c>
      <c r="AB103" s="697"/>
      <c r="AF103" s="386">
        <f t="shared" si="2"/>
        <v>1</v>
      </c>
    </row>
    <row r="104" spans="1:32" x14ac:dyDescent="0.25">
      <c r="A104" s="823">
        <v>95</v>
      </c>
      <c r="B104" s="1236" t="s">
        <v>60</v>
      </c>
      <c r="C104" s="1236"/>
      <c r="D104" s="1258" t="str">
        <f>VLOOKUP($A104,'Pre-Assessment Estimator'!$A$10:$Z$225,D$2,FALSE)</f>
        <v>Wat 01</v>
      </c>
      <c r="E104" s="1258" t="str">
        <f>VLOOKUP($A104,'Pre-Assessment Estimator'!$A$10:$Z$225,E$2,FALSE)</f>
        <v>Wat 01 Water consumption</v>
      </c>
      <c r="F104" s="574">
        <f>VLOOKUP($A104,'Pre-Assessment Estimator'!$A$10:$Z$225,F$2,FALSE)</f>
        <v>5</v>
      </c>
      <c r="G104" s="580" t="str">
        <f>IF(VLOOKUP($A104,'Pre-Assessment Estimator'!$A$10:$Z$225,G$2,FALSE)=0,"",VLOOKUP($A104,'Pre-Assessment Estimator'!$A$10:$Z$225,G$2,FALSE))</f>
        <v/>
      </c>
      <c r="H104" s="1222" t="str">
        <f>VLOOKUP($A104,'Pre-Assessment Estimator'!$A$10:$Z$225,H$2,FALSE)</f>
        <v>0 c. 0 %</v>
      </c>
      <c r="I104" s="576" t="str">
        <f>VLOOKUP($A104,'Pre-Assessment Estimator'!$A$10:$Z$225,I$2,FALSE)</f>
        <v>N/A</v>
      </c>
      <c r="J104" s="577" t="str">
        <f>IF(VLOOKUP($A104,'Pre-Assessment Estimator'!$A$10:$Z$225,J$2,FALSE)=0,"",VLOOKUP($A104,'Pre-Assessment Estimator'!$A$10:$Z$225,J$2,FALSE))</f>
        <v/>
      </c>
      <c r="K104" s="577" t="str">
        <f>IF(VLOOKUP($A104,'Pre-Assessment Estimator'!$A$10:$Z$225,K$2,FALSE)=0,"",VLOOKUP($A104,'Pre-Assessment Estimator'!$A$10:$Z$225,K$2,FALSE))</f>
        <v/>
      </c>
      <c r="L104" s="578" t="str">
        <f>IF(VLOOKUP($A104,'Pre-Assessment Estimator'!$A$10:$Z$225,L$2,FALSE)=0,"",VLOOKUP($A104,'Pre-Assessment Estimator'!$A$10:$Z$225,L$2,FALSE))</f>
        <v/>
      </c>
      <c r="M104" s="579"/>
      <c r="N104" s="580" t="str">
        <f>IF(VLOOKUP($A104,'Pre-Assessment Estimator'!$A$10:$Z$225,N$2,FALSE)=0,"",VLOOKUP($A104,'Pre-Assessment Estimator'!$A$10:$Z$225,N$2,FALSE))</f>
        <v/>
      </c>
      <c r="O104" s="575" t="str">
        <f>VLOOKUP($A104,'Pre-Assessment Estimator'!$A$10:$Z$225,O$2,FALSE)</f>
        <v>0 c. 0 %</v>
      </c>
      <c r="P104" s="574" t="str">
        <f>VLOOKUP($A104,'Pre-Assessment Estimator'!$A$10:$Z$225,P$2,FALSE)</f>
        <v>N/A</v>
      </c>
      <c r="Q104" s="577" t="str">
        <f>IF(VLOOKUP($A104,'Pre-Assessment Estimator'!$A$10:$Z$225,Q$2,FALSE)=0,"",VLOOKUP($A104,'Pre-Assessment Estimator'!$A$10:$Z$225,Q$2,FALSE))</f>
        <v/>
      </c>
      <c r="R104" s="577" t="str">
        <f>IF(VLOOKUP($A104,'Pre-Assessment Estimator'!$A$10:$Z$225,R$2,FALSE)=0,"",VLOOKUP($A104,'Pre-Assessment Estimator'!$A$10:$Z$225,R$2,FALSE))</f>
        <v/>
      </c>
      <c r="S104" s="578" t="str">
        <f>IF(VLOOKUP($A104,'Pre-Assessment Estimator'!$A$10:$Z$225,S$2,FALSE)=0,"",VLOOKUP($A104,'Pre-Assessment Estimator'!$A$10:$Z$225,S$2,FALSE))</f>
        <v/>
      </c>
      <c r="T104" s="581"/>
      <c r="U104" s="580" t="str">
        <f>IF(VLOOKUP($A104,'Pre-Assessment Estimator'!$A$10:$Z$225,U$2,FALSE)=0,"",VLOOKUP($A104,'Pre-Assessment Estimator'!$A$10:$Z$225,U$2,FALSE))</f>
        <v/>
      </c>
      <c r="V104" s="575" t="str">
        <f>VLOOKUP($A104,'Pre-Assessment Estimator'!$A$10:$Z$225,V$2,FALSE)</f>
        <v>0 c. 0 %</v>
      </c>
      <c r="W104" s="574" t="str">
        <f>VLOOKUP($A104,'Pre-Assessment Estimator'!$A$10:$Z$225,W$2,FALSE)</f>
        <v>N/A</v>
      </c>
      <c r="X104" s="577" t="str">
        <f>IF(VLOOKUP($A104,'Pre-Assessment Estimator'!$A$10:$Z$225,X$2,FALSE)=0,"",VLOOKUP($A104,'Pre-Assessment Estimator'!$A$10:$Z$225,X$2,FALSE))</f>
        <v/>
      </c>
      <c r="Y104" s="577" t="str">
        <f>IF(VLOOKUP($A104,'Pre-Assessment Estimator'!$A$10:$Z$225,Y$2,FALSE)=0,"",VLOOKUP($A104,'Pre-Assessment Estimator'!$A$10:$Z$225,Y$2,FALSE))</f>
        <v/>
      </c>
      <c r="Z104" s="370" t="str">
        <f>IF(VLOOKUP($A104,'Pre-Assessment Estimator'!$A$10:$Z$225,Z$2,FALSE)=0,"",VLOOKUP($A104,'Pre-Assessment Estimator'!$A$10:$Z$225,Z$2,FALSE))</f>
        <v/>
      </c>
      <c r="AA104" s="696">
        <v>94</v>
      </c>
      <c r="AB104" s="577" t="str">
        <f>IF(VLOOKUP($A104,'Pre-Assessment Estimator'!$A$10:$AB$225,AB$2,FALSE)=0,"",VLOOKUP($A104,'Pre-Assessment Estimator'!$A$10:$AB$225,AB$2,FALSE))</f>
        <v/>
      </c>
      <c r="AF104" s="386">
        <f t="shared" si="2"/>
        <v>1</v>
      </c>
    </row>
    <row r="105" spans="1:32" x14ac:dyDescent="0.25">
      <c r="A105" s="823">
        <v>96</v>
      </c>
      <c r="B105" s="1236" t="s">
        <v>60</v>
      </c>
      <c r="C105" s="1236"/>
      <c r="D105" s="1259" t="str">
        <f>VLOOKUP($A105,'Pre-Assessment Estimator'!$A$10:$Z$225,D$2,FALSE)</f>
        <v>Wat 01</v>
      </c>
      <c r="E105" s="1260" t="str">
        <f>VLOOKUP($A105,'Pre-Assessment Estimator'!$A$10:$Z$225,E$2,FALSE)</f>
        <v>Water efficient components</v>
      </c>
      <c r="F105" s="574">
        <f>VLOOKUP($A105,'Pre-Assessment Estimator'!$A$10:$Z$225,F$2,FALSE)</f>
        <v>5</v>
      </c>
      <c r="G105" s="580" t="str">
        <f>IF(VLOOKUP($A105,'Pre-Assessment Estimator'!$A$10:$Z$225,G$2,FALSE)=0,"",VLOOKUP($A105,'Pre-Assessment Estimator'!$A$10:$Z$225,G$2,FALSE))</f>
        <v/>
      </c>
      <c r="H105" s="1222">
        <f>VLOOKUP($A105,'Pre-Assessment Estimator'!$A$10:$Z$225,H$2,FALSE)</f>
        <v>0</v>
      </c>
      <c r="I105" s="576" t="str">
        <f>VLOOKUP($A105,'Pre-Assessment Estimator'!$A$10:$Z$225,I$2,FALSE)</f>
        <v>Very Good</v>
      </c>
      <c r="J105" s="577" t="str">
        <f>IF(VLOOKUP($A105,'Pre-Assessment Estimator'!$A$10:$Z$225,J$2,FALSE)=0,"",VLOOKUP($A105,'Pre-Assessment Estimator'!$A$10:$Z$225,J$2,FALSE))</f>
        <v/>
      </c>
      <c r="K105" s="577" t="str">
        <f>IF(VLOOKUP($A105,'Pre-Assessment Estimator'!$A$10:$Z$225,K$2,FALSE)=0,"",VLOOKUP($A105,'Pre-Assessment Estimator'!$A$10:$Z$225,K$2,FALSE))</f>
        <v/>
      </c>
      <c r="L105" s="578" t="str">
        <f>IF(VLOOKUP($A105,'Pre-Assessment Estimator'!$A$10:$Z$225,L$2,FALSE)=0,"",VLOOKUP($A105,'Pre-Assessment Estimator'!$A$10:$Z$225,L$2,FALSE))</f>
        <v/>
      </c>
      <c r="M105" s="579"/>
      <c r="N105" s="580" t="str">
        <f>IF(VLOOKUP($A105,'Pre-Assessment Estimator'!$A$10:$Z$225,N$2,FALSE)=0,"",VLOOKUP($A105,'Pre-Assessment Estimator'!$A$10:$Z$225,N$2,FALSE))</f>
        <v/>
      </c>
      <c r="O105" s="575">
        <f>VLOOKUP($A105,'Pre-Assessment Estimator'!$A$10:$Z$225,O$2,FALSE)</f>
        <v>0</v>
      </c>
      <c r="P105" s="574" t="str">
        <f>VLOOKUP($A105,'Pre-Assessment Estimator'!$A$10:$Z$225,P$2,FALSE)</f>
        <v>Very Good</v>
      </c>
      <c r="Q105" s="577" t="str">
        <f>IF(VLOOKUP($A105,'Pre-Assessment Estimator'!$A$10:$Z$225,Q$2,FALSE)=0,"",VLOOKUP($A105,'Pre-Assessment Estimator'!$A$10:$Z$225,Q$2,FALSE))</f>
        <v/>
      </c>
      <c r="R105" s="577" t="str">
        <f>IF(VLOOKUP($A105,'Pre-Assessment Estimator'!$A$10:$Z$225,R$2,FALSE)=0,"",VLOOKUP($A105,'Pre-Assessment Estimator'!$A$10:$Z$225,R$2,FALSE))</f>
        <v/>
      </c>
      <c r="S105" s="578" t="str">
        <f>IF(VLOOKUP($A105,'Pre-Assessment Estimator'!$A$10:$Z$225,S$2,FALSE)=0,"",VLOOKUP($A105,'Pre-Assessment Estimator'!$A$10:$Z$225,S$2,FALSE))</f>
        <v/>
      </c>
      <c r="T105" s="581"/>
      <c r="U105" s="580" t="str">
        <f>IF(VLOOKUP($A105,'Pre-Assessment Estimator'!$A$10:$Z$225,U$2,FALSE)=0,"",VLOOKUP($A105,'Pre-Assessment Estimator'!$A$10:$Z$225,U$2,FALSE))</f>
        <v/>
      </c>
      <c r="V105" s="575">
        <f>VLOOKUP($A105,'Pre-Assessment Estimator'!$A$10:$Z$225,V$2,FALSE)</f>
        <v>0</v>
      </c>
      <c r="W105" s="574" t="str">
        <f>VLOOKUP($A105,'Pre-Assessment Estimator'!$A$10:$Z$225,W$2,FALSE)</f>
        <v>Very Good</v>
      </c>
      <c r="X105" s="577" t="str">
        <f>IF(VLOOKUP($A105,'Pre-Assessment Estimator'!$A$10:$Z$225,X$2,FALSE)=0,"",VLOOKUP($A105,'Pre-Assessment Estimator'!$A$10:$Z$225,X$2,FALSE))</f>
        <v/>
      </c>
      <c r="Y105" s="577" t="str">
        <f>IF(VLOOKUP($A105,'Pre-Assessment Estimator'!$A$10:$Z$225,Y$2,FALSE)=0,"",VLOOKUP($A105,'Pre-Assessment Estimator'!$A$10:$Z$225,Y$2,FALSE))</f>
        <v/>
      </c>
      <c r="Z105" s="370" t="str">
        <f>IF(VLOOKUP($A105,'Pre-Assessment Estimator'!$A$10:$Z$225,Z$2,FALSE)=0,"",VLOOKUP($A105,'Pre-Assessment Estimator'!$A$10:$Z$225,Z$2,FALSE))</f>
        <v/>
      </c>
      <c r="AA105" s="696">
        <v>95</v>
      </c>
      <c r="AB105" s="577" t="str">
        <f>IF(VLOOKUP($A105,'Pre-Assessment Estimator'!$A$10:$AB$225,AB$2,FALSE)=0,"",VLOOKUP($A105,'Pre-Assessment Estimator'!$A$10:$AB$225,AB$2,FALSE))</f>
        <v/>
      </c>
      <c r="AF105" s="386">
        <f t="shared" si="2"/>
        <v>1</v>
      </c>
    </row>
    <row r="106" spans="1:32" x14ac:dyDescent="0.25">
      <c r="A106" s="823">
        <v>97</v>
      </c>
      <c r="B106" s="1236" t="s">
        <v>60</v>
      </c>
      <c r="C106" s="1236"/>
      <c r="D106" s="1259" t="str">
        <f>VLOOKUP($A106,'Pre-Assessment Estimator'!$A$10:$Z$225,D$2,FALSE)</f>
        <v>Wat 01</v>
      </c>
      <c r="E106" s="1262" t="str">
        <f>VLOOKUP($A106,'Pre-Assessment Estimator'!$A$10:$Z$225,E$2,FALSE)</f>
        <v>EU taxonomy requirements: criterion 1-3</v>
      </c>
      <c r="F106" s="574" t="str">
        <f>VLOOKUP($A106,'Pre-Assessment Estimator'!$A$10:$Z$225,F$2,FALSE)</f>
        <v>Yes/No</v>
      </c>
      <c r="G106" s="580" t="str">
        <f>IF(VLOOKUP($A106,'Pre-Assessment Estimator'!$A$10:$Z$225,G$2,FALSE)=0,"",VLOOKUP($A106,'Pre-Assessment Estimator'!$A$10:$Z$225,G$2,FALSE))</f>
        <v/>
      </c>
      <c r="H106" s="1222" t="str">
        <f>VLOOKUP($A106,'Pre-Assessment Estimator'!$A$10:$Z$225,H$2,FALSE)</f>
        <v>-</v>
      </c>
      <c r="I106" s="576" t="str">
        <f>VLOOKUP($A106,'Pre-Assessment Estimator'!$A$10:$Z$225,I$2,FALSE)</f>
        <v>N/A</v>
      </c>
      <c r="J106" s="577" t="str">
        <f>IF(VLOOKUP($A106,'Pre-Assessment Estimator'!$A$10:$Z$225,J$2,FALSE)=0,"",VLOOKUP($A106,'Pre-Assessment Estimator'!$A$10:$Z$225,J$2,FALSE))</f>
        <v/>
      </c>
      <c r="K106" s="577" t="str">
        <f>IF(VLOOKUP($A106,'Pre-Assessment Estimator'!$A$10:$Z$225,K$2,FALSE)=0,"",VLOOKUP($A106,'Pre-Assessment Estimator'!$A$10:$Z$225,K$2,FALSE))</f>
        <v/>
      </c>
      <c r="L106" s="578" t="str">
        <f>IF(VLOOKUP($A106,'Pre-Assessment Estimator'!$A$10:$Z$225,L$2,FALSE)=0,"",VLOOKUP($A106,'Pre-Assessment Estimator'!$A$10:$Z$225,L$2,FALSE))</f>
        <v/>
      </c>
      <c r="M106" s="579"/>
      <c r="N106" s="580" t="str">
        <f>IF(VLOOKUP($A106,'Pre-Assessment Estimator'!$A$10:$Z$225,N$2,FALSE)=0,"",VLOOKUP($A106,'Pre-Assessment Estimator'!$A$10:$Z$225,N$2,FALSE))</f>
        <v/>
      </c>
      <c r="O106" s="575" t="str">
        <f>VLOOKUP($A106,'Pre-Assessment Estimator'!$A$10:$Z$225,O$2,FALSE)</f>
        <v>-</v>
      </c>
      <c r="P106" s="574" t="str">
        <f>VLOOKUP($A106,'Pre-Assessment Estimator'!$A$10:$Z$225,P$2,FALSE)</f>
        <v>N/A</v>
      </c>
      <c r="Q106" s="577" t="str">
        <f>IF(VLOOKUP($A106,'Pre-Assessment Estimator'!$A$10:$Z$225,Q$2,FALSE)=0,"",VLOOKUP($A106,'Pre-Assessment Estimator'!$A$10:$Z$225,Q$2,FALSE))</f>
        <v/>
      </c>
      <c r="R106" s="577" t="str">
        <f>IF(VLOOKUP($A106,'Pre-Assessment Estimator'!$A$10:$Z$225,R$2,FALSE)=0,"",VLOOKUP($A106,'Pre-Assessment Estimator'!$A$10:$Z$225,R$2,FALSE))</f>
        <v/>
      </c>
      <c r="S106" s="578" t="str">
        <f>IF(VLOOKUP($A106,'Pre-Assessment Estimator'!$A$10:$Z$225,S$2,FALSE)=0,"",VLOOKUP($A106,'Pre-Assessment Estimator'!$A$10:$Z$225,S$2,FALSE))</f>
        <v/>
      </c>
      <c r="T106" s="581"/>
      <c r="U106" s="580" t="str">
        <f>IF(VLOOKUP($A106,'Pre-Assessment Estimator'!$A$10:$Z$225,U$2,FALSE)=0,"",VLOOKUP($A106,'Pre-Assessment Estimator'!$A$10:$Z$225,U$2,FALSE))</f>
        <v/>
      </c>
      <c r="V106" s="575" t="str">
        <f>VLOOKUP($A106,'Pre-Assessment Estimator'!$A$10:$Z$225,V$2,FALSE)</f>
        <v>-</v>
      </c>
      <c r="W106" s="574" t="str">
        <f>VLOOKUP($A106,'Pre-Assessment Estimator'!$A$10:$Z$225,W$2,FALSE)</f>
        <v>N/A</v>
      </c>
      <c r="X106" s="577" t="str">
        <f>IF(VLOOKUP($A106,'Pre-Assessment Estimator'!$A$10:$Z$225,X$2,FALSE)=0,"",VLOOKUP($A106,'Pre-Assessment Estimator'!$A$10:$Z$225,X$2,FALSE))</f>
        <v/>
      </c>
      <c r="Y106" s="577" t="str">
        <f>IF(VLOOKUP($A106,'Pre-Assessment Estimator'!$A$10:$Z$225,Y$2,FALSE)=0,"",VLOOKUP($A106,'Pre-Assessment Estimator'!$A$10:$Z$225,Y$2,FALSE))</f>
        <v/>
      </c>
      <c r="Z106" s="370" t="str">
        <f>IF(VLOOKUP($A106,'Pre-Assessment Estimator'!$A$10:$Z$225,Z$2,FALSE)=0,"",VLOOKUP($A106,'Pre-Assessment Estimator'!$A$10:$Z$225,Z$2,FALSE))</f>
        <v/>
      </c>
      <c r="AA106" s="696">
        <v>96</v>
      </c>
      <c r="AB106" s="577" t="str">
        <f>IF(VLOOKUP($A106,'Pre-Assessment Estimator'!$A$10:$AB$225,AB$2,FALSE)=0,"",VLOOKUP($A106,'Pre-Assessment Estimator'!$A$10:$AB$225,AB$2,FALSE))</f>
        <v/>
      </c>
      <c r="AF106" s="386">
        <f t="shared" si="2"/>
        <v>1</v>
      </c>
    </row>
    <row r="107" spans="1:32" x14ac:dyDescent="0.25">
      <c r="A107" s="823">
        <v>98</v>
      </c>
      <c r="B107" s="1236" t="s">
        <v>60</v>
      </c>
      <c r="C107" s="1236"/>
      <c r="D107" s="1259" t="str">
        <f>VLOOKUP($A107,'Pre-Assessment Estimator'!$A$10:$Z$225,D$2,FALSE)</f>
        <v>Wat 02</v>
      </c>
      <c r="E107" s="1260" t="str">
        <f>VLOOKUP($A107,'Pre-Assessment Estimator'!$A$10:$Z$225,E$2,FALSE)</f>
        <v>Wat 02 Water monitoring</v>
      </c>
      <c r="F107" s="574">
        <f>VLOOKUP($A107,'Pre-Assessment Estimator'!$A$10:$Z$225,F$2,FALSE)</f>
        <v>1</v>
      </c>
      <c r="G107" s="580" t="str">
        <f>IF(VLOOKUP($A107,'Pre-Assessment Estimator'!$A$10:$Z$225,G$2,FALSE)=0,"",VLOOKUP($A107,'Pre-Assessment Estimator'!$A$10:$Z$225,G$2,FALSE))</f>
        <v/>
      </c>
      <c r="H107" s="1222" t="str">
        <f>VLOOKUP($A107,'Pre-Assessment Estimator'!$A$10:$Z$225,H$2,FALSE)</f>
        <v>0 c. 0 %</v>
      </c>
      <c r="I107" s="576" t="str">
        <f>VLOOKUP($A107,'Pre-Assessment Estimator'!$A$10:$Z$225,I$2,FALSE)</f>
        <v>N/A</v>
      </c>
      <c r="J107" s="577" t="str">
        <f>IF(VLOOKUP($A107,'Pre-Assessment Estimator'!$A$10:$Z$225,J$2,FALSE)=0,"",VLOOKUP($A107,'Pre-Assessment Estimator'!$A$10:$Z$225,J$2,FALSE))</f>
        <v/>
      </c>
      <c r="K107" s="577" t="str">
        <f>IF(VLOOKUP($A107,'Pre-Assessment Estimator'!$A$10:$Z$225,K$2,FALSE)=0,"",VLOOKUP($A107,'Pre-Assessment Estimator'!$A$10:$Z$225,K$2,FALSE))</f>
        <v/>
      </c>
      <c r="L107" s="578" t="str">
        <f>IF(VLOOKUP($A107,'Pre-Assessment Estimator'!$A$10:$Z$225,L$2,FALSE)=0,"",VLOOKUP($A107,'Pre-Assessment Estimator'!$A$10:$Z$225,L$2,FALSE))</f>
        <v/>
      </c>
      <c r="M107" s="579"/>
      <c r="N107" s="580" t="str">
        <f>IF(VLOOKUP($A107,'Pre-Assessment Estimator'!$A$10:$Z$225,N$2,FALSE)=0,"",VLOOKUP($A107,'Pre-Assessment Estimator'!$A$10:$Z$225,N$2,FALSE))</f>
        <v/>
      </c>
      <c r="O107" s="575" t="str">
        <f>VLOOKUP($A107,'Pre-Assessment Estimator'!$A$10:$Z$225,O$2,FALSE)</f>
        <v>0 c. 0 %</v>
      </c>
      <c r="P107" s="574" t="str">
        <f>VLOOKUP($A107,'Pre-Assessment Estimator'!$A$10:$Z$225,P$2,FALSE)</f>
        <v>N/A</v>
      </c>
      <c r="Q107" s="577" t="str">
        <f>IF(VLOOKUP($A107,'Pre-Assessment Estimator'!$A$10:$Z$225,Q$2,FALSE)=0,"",VLOOKUP($A107,'Pre-Assessment Estimator'!$A$10:$Z$225,Q$2,FALSE))</f>
        <v/>
      </c>
      <c r="R107" s="577" t="str">
        <f>IF(VLOOKUP($A107,'Pre-Assessment Estimator'!$A$10:$Z$225,R$2,FALSE)=0,"",VLOOKUP($A107,'Pre-Assessment Estimator'!$A$10:$Z$225,R$2,FALSE))</f>
        <v/>
      </c>
      <c r="S107" s="578" t="str">
        <f>IF(VLOOKUP($A107,'Pre-Assessment Estimator'!$A$10:$Z$225,S$2,FALSE)=0,"",VLOOKUP($A107,'Pre-Assessment Estimator'!$A$10:$Z$225,S$2,FALSE))</f>
        <v/>
      </c>
      <c r="T107" s="581"/>
      <c r="U107" s="580" t="str">
        <f>IF(VLOOKUP($A107,'Pre-Assessment Estimator'!$A$10:$Z$225,U$2,FALSE)=0,"",VLOOKUP($A107,'Pre-Assessment Estimator'!$A$10:$Z$225,U$2,FALSE))</f>
        <v/>
      </c>
      <c r="V107" s="575" t="str">
        <f>VLOOKUP($A107,'Pre-Assessment Estimator'!$A$10:$Z$225,V$2,FALSE)</f>
        <v>0 c. 0 %</v>
      </c>
      <c r="W107" s="574" t="str">
        <f>VLOOKUP($A107,'Pre-Assessment Estimator'!$A$10:$Z$225,W$2,FALSE)</f>
        <v>N/A</v>
      </c>
      <c r="X107" s="577" t="str">
        <f>IF(VLOOKUP($A107,'Pre-Assessment Estimator'!$A$10:$Z$225,X$2,FALSE)=0,"",VLOOKUP($A107,'Pre-Assessment Estimator'!$A$10:$Z$225,X$2,FALSE))</f>
        <v/>
      </c>
      <c r="Y107" s="577" t="str">
        <f>IF(VLOOKUP($A107,'Pre-Assessment Estimator'!$A$10:$Z$225,Y$2,FALSE)=0,"",VLOOKUP($A107,'Pre-Assessment Estimator'!$A$10:$Z$225,Y$2,FALSE))</f>
        <v/>
      </c>
      <c r="Z107" s="370" t="str">
        <f>IF(VLOOKUP($A107,'Pre-Assessment Estimator'!$A$10:$Z$225,Z$2,FALSE)=0,"",VLOOKUP($A107,'Pre-Assessment Estimator'!$A$10:$Z$225,Z$2,FALSE))</f>
        <v/>
      </c>
      <c r="AA107" s="696">
        <v>97</v>
      </c>
      <c r="AB107" s="577"/>
      <c r="AF107" s="386">
        <f t="shared" si="2"/>
        <v>1</v>
      </c>
    </row>
    <row r="108" spans="1:32" x14ac:dyDescent="0.25">
      <c r="A108" s="823">
        <v>99</v>
      </c>
      <c r="B108" s="1236" t="s">
        <v>60</v>
      </c>
      <c r="C108" s="1236"/>
      <c r="D108" s="1259" t="str">
        <f>VLOOKUP($A108,'Pre-Assessment Estimator'!$A$10:$Z$225,D$2,FALSE)</f>
        <v>Wat 02</v>
      </c>
      <c r="E108" s="1260" t="str">
        <f>VLOOKUP($A108,'Pre-Assessment Estimator'!$A$10:$Z$225,E$2,FALSE)</f>
        <v>Water meter</v>
      </c>
      <c r="F108" s="574">
        <f>VLOOKUP($A108,'Pre-Assessment Estimator'!$A$10:$Z$225,F$2,FALSE)</f>
        <v>1</v>
      </c>
      <c r="G108" s="580" t="str">
        <f>IF(VLOOKUP($A108,'Pre-Assessment Estimator'!$A$10:$Z$225,G$2,FALSE)=0,"",VLOOKUP($A108,'Pre-Assessment Estimator'!$A$10:$Z$225,G$2,FALSE))</f>
        <v/>
      </c>
      <c r="H108" s="1222">
        <f>VLOOKUP($A108,'Pre-Assessment Estimator'!$A$10:$Z$225,H$2,FALSE)</f>
        <v>0</v>
      </c>
      <c r="I108" s="576" t="str">
        <f>VLOOKUP($A108,'Pre-Assessment Estimator'!$A$10:$Z$225,I$2,FALSE)</f>
        <v>N/A</v>
      </c>
      <c r="J108" s="577" t="str">
        <f>IF(VLOOKUP($A108,'Pre-Assessment Estimator'!$A$10:$Z$225,J$2,FALSE)=0,"",VLOOKUP($A108,'Pre-Assessment Estimator'!$A$10:$Z$225,J$2,FALSE))</f>
        <v/>
      </c>
      <c r="K108" s="577" t="str">
        <f>IF(VLOOKUP($A108,'Pre-Assessment Estimator'!$A$10:$Z$225,K$2,FALSE)=0,"",VLOOKUP($A108,'Pre-Assessment Estimator'!$A$10:$Z$225,K$2,FALSE))</f>
        <v/>
      </c>
      <c r="L108" s="578" t="str">
        <f>IF(VLOOKUP($A108,'Pre-Assessment Estimator'!$A$10:$Z$225,L$2,FALSE)=0,"",VLOOKUP($A108,'Pre-Assessment Estimator'!$A$10:$Z$225,L$2,FALSE))</f>
        <v/>
      </c>
      <c r="M108" s="579"/>
      <c r="N108" s="580" t="str">
        <f>IF(VLOOKUP($A108,'Pre-Assessment Estimator'!$A$10:$Z$225,N$2,FALSE)=0,"",VLOOKUP($A108,'Pre-Assessment Estimator'!$A$10:$Z$225,N$2,FALSE))</f>
        <v/>
      </c>
      <c r="O108" s="575">
        <f>VLOOKUP($A108,'Pre-Assessment Estimator'!$A$10:$Z$225,O$2,FALSE)</f>
        <v>0</v>
      </c>
      <c r="P108" s="574" t="str">
        <f>VLOOKUP($A108,'Pre-Assessment Estimator'!$A$10:$Z$225,P$2,FALSE)</f>
        <v>N/A</v>
      </c>
      <c r="Q108" s="577" t="str">
        <f>IF(VLOOKUP($A108,'Pre-Assessment Estimator'!$A$10:$Z$225,Q$2,FALSE)=0,"",VLOOKUP($A108,'Pre-Assessment Estimator'!$A$10:$Z$225,Q$2,FALSE))</f>
        <v/>
      </c>
      <c r="R108" s="577" t="str">
        <f>IF(VLOOKUP($A108,'Pre-Assessment Estimator'!$A$10:$Z$225,R$2,FALSE)=0,"",VLOOKUP($A108,'Pre-Assessment Estimator'!$A$10:$Z$225,R$2,FALSE))</f>
        <v/>
      </c>
      <c r="S108" s="578" t="str">
        <f>IF(VLOOKUP($A108,'Pre-Assessment Estimator'!$A$10:$Z$225,S$2,FALSE)=0,"",VLOOKUP($A108,'Pre-Assessment Estimator'!$A$10:$Z$225,S$2,FALSE))</f>
        <v/>
      </c>
      <c r="T108" s="581"/>
      <c r="U108" s="580" t="str">
        <f>IF(VLOOKUP($A108,'Pre-Assessment Estimator'!$A$10:$Z$225,U$2,FALSE)=0,"",VLOOKUP($A108,'Pre-Assessment Estimator'!$A$10:$Z$225,U$2,FALSE))</f>
        <v/>
      </c>
      <c r="V108" s="575">
        <f>VLOOKUP($A108,'Pre-Assessment Estimator'!$A$10:$Z$225,V$2,FALSE)</f>
        <v>0</v>
      </c>
      <c r="W108" s="574" t="str">
        <f>VLOOKUP($A108,'Pre-Assessment Estimator'!$A$10:$Z$225,W$2,FALSE)</f>
        <v>N/A</v>
      </c>
      <c r="X108" s="577" t="str">
        <f>IF(VLOOKUP($A108,'Pre-Assessment Estimator'!$A$10:$Z$225,X$2,FALSE)=0,"",VLOOKUP($A108,'Pre-Assessment Estimator'!$A$10:$Z$225,X$2,FALSE))</f>
        <v/>
      </c>
      <c r="Y108" s="577" t="str">
        <f>IF(VLOOKUP($A108,'Pre-Assessment Estimator'!$A$10:$Z$225,Y$2,FALSE)=0,"",VLOOKUP($A108,'Pre-Assessment Estimator'!$A$10:$Z$225,Y$2,FALSE))</f>
        <v/>
      </c>
      <c r="Z108" s="370" t="str">
        <f>IF(VLOOKUP($A108,'Pre-Assessment Estimator'!$A$10:$Z$225,Z$2,FALSE)=0,"",VLOOKUP($A108,'Pre-Assessment Estimator'!$A$10:$Z$225,Z$2,FALSE))</f>
        <v/>
      </c>
      <c r="AA108" s="696">
        <v>98</v>
      </c>
      <c r="AB108" s="577"/>
      <c r="AF108" s="386">
        <f t="shared" si="2"/>
        <v>1</v>
      </c>
    </row>
    <row r="109" spans="1:32" x14ac:dyDescent="0.25">
      <c r="A109" s="823">
        <v>100</v>
      </c>
      <c r="B109" s="1236" t="s">
        <v>60</v>
      </c>
      <c r="C109" s="1236"/>
      <c r="D109" s="1258" t="str">
        <f>VLOOKUP($A109,'Pre-Assessment Estimator'!$A$10:$Z$225,D$2,FALSE)</f>
        <v>Wat 03</v>
      </c>
      <c r="E109" s="1258" t="str">
        <f>VLOOKUP($A109,'Pre-Assessment Estimator'!$A$10:$Z$225,E$2,FALSE)</f>
        <v>Wat 03 Water leak detection and prevention</v>
      </c>
      <c r="F109" s="574">
        <f>VLOOKUP($A109,'Pre-Assessment Estimator'!$A$10:$Z$225,F$2,FALSE)</f>
        <v>2</v>
      </c>
      <c r="G109" s="580" t="str">
        <f>IF(VLOOKUP($A109,'Pre-Assessment Estimator'!$A$10:$Z$225,G$2,FALSE)=0,"",VLOOKUP($A109,'Pre-Assessment Estimator'!$A$10:$Z$225,G$2,FALSE))</f>
        <v/>
      </c>
      <c r="H109" s="1222" t="str">
        <f>VLOOKUP($A109,'Pre-Assessment Estimator'!$A$10:$Z$225,H$2,FALSE)</f>
        <v>0 c. 0 %</v>
      </c>
      <c r="I109" s="576" t="str">
        <f>VLOOKUP($A109,'Pre-Assessment Estimator'!$A$10:$Z$225,I$2,FALSE)</f>
        <v>N/A</v>
      </c>
      <c r="J109" s="577" t="str">
        <f>IF(VLOOKUP($A109,'Pre-Assessment Estimator'!$A$10:$Z$225,J$2,FALSE)=0,"",VLOOKUP($A109,'Pre-Assessment Estimator'!$A$10:$Z$225,J$2,FALSE))</f>
        <v/>
      </c>
      <c r="K109" s="577" t="str">
        <f>IF(VLOOKUP($A109,'Pre-Assessment Estimator'!$A$10:$Z$225,K$2,FALSE)=0,"",VLOOKUP($A109,'Pre-Assessment Estimator'!$A$10:$Z$225,K$2,FALSE))</f>
        <v/>
      </c>
      <c r="L109" s="578" t="str">
        <f>IF(VLOOKUP($A109,'Pre-Assessment Estimator'!$A$10:$Z$225,L$2,FALSE)=0,"",VLOOKUP($A109,'Pre-Assessment Estimator'!$A$10:$Z$225,L$2,FALSE))</f>
        <v/>
      </c>
      <c r="M109" s="579"/>
      <c r="N109" s="580" t="str">
        <f>IF(VLOOKUP($A109,'Pre-Assessment Estimator'!$A$10:$Z$225,N$2,FALSE)=0,"",VLOOKUP($A109,'Pre-Assessment Estimator'!$A$10:$Z$225,N$2,FALSE))</f>
        <v/>
      </c>
      <c r="O109" s="575" t="str">
        <f>VLOOKUP($A109,'Pre-Assessment Estimator'!$A$10:$Z$225,O$2,FALSE)</f>
        <v>0 c. 0 %</v>
      </c>
      <c r="P109" s="574" t="str">
        <f>VLOOKUP($A109,'Pre-Assessment Estimator'!$A$10:$Z$225,P$2,FALSE)</f>
        <v>N/A</v>
      </c>
      <c r="Q109" s="577" t="str">
        <f>IF(VLOOKUP($A109,'Pre-Assessment Estimator'!$A$10:$Z$225,Q$2,FALSE)=0,"",VLOOKUP($A109,'Pre-Assessment Estimator'!$A$10:$Z$225,Q$2,FALSE))</f>
        <v/>
      </c>
      <c r="R109" s="577" t="str">
        <f>IF(VLOOKUP($A109,'Pre-Assessment Estimator'!$A$10:$Z$225,R$2,FALSE)=0,"",VLOOKUP($A109,'Pre-Assessment Estimator'!$A$10:$Z$225,R$2,FALSE))</f>
        <v/>
      </c>
      <c r="S109" s="578" t="str">
        <f>IF(VLOOKUP($A109,'Pre-Assessment Estimator'!$A$10:$Z$225,S$2,FALSE)=0,"",VLOOKUP($A109,'Pre-Assessment Estimator'!$A$10:$Z$225,S$2,FALSE))</f>
        <v/>
      </c>
      <c r="T109" s="581"/>
      <c r="U109" s="580" t="str">
        <f>IF(VLOOKUP($A109,'Pre-Assessment Estimator'!$A$10:$Z$225,U$2,FALSE)=0,"",VLOOKUP($A109,'Pre-Assessment Estimator'!$A$10:$Z$225,U$2,FALSE))</f>
        <v/>
      </c>
      <c r="V109" s="575" t="str">
        <f>VLOOKUP($A109,'Pre-Assessment Estimator'!$A$10:$Z$225,V$2,FALSE)</f>
        <v>0 c. 0 %</v>
      </c>
      <c r="W109" s="574" t="str">
        <f>VLOOKUP($A109,'Pre-Assessment Estimator'!$A$10:$Z$225,W$2,FALSE)</f>
        <v>N/A</v>
      </c>
      <c r="X109" s="577" t="str">
        <f>IF(VLOOKUP($A109,'Pre-Assessment Estimator'!$A$10:$Z$225,X$2,FALSE)=0,"",VLOOKUP($A109,'Pre-Assessment Estimator'!$A$10:$Z$225,X$2,FALSE))</f>
        <v/>
      </c>
      <c r="Y109" s="577" t="str">
        <f>IF(VLOOKUP($A109,'Pre-Assessment Estimator'!$A$10:$Z$225,Y$2,FALSE)=0,"",VLOOKUP($A109,'Pre-Assessment Estimator'!$A$10:$Z$225,Y$2,FALSE))</f>
        <v/>
      </c>
      <c r="Z109" s="370" t="str">
        <f>IF(VLOOKUP($A109,'Pre-Assessment Estimator'!$A$10:$Z$225,Z$2,FALSE)=0,"",VLOOKUP($A109,'Pre-Assessment Estimator'!$A$10:$Z$225,Z$2,FALSE))</f>
        <v/>
      </c>
      <c r="AA109" s="696">
        <v>99</v>
      </c>
      <c r="AB109" s="577"/>
      <c r="AF109" s="386">
        <f t="shared" si="2"/>
        <v>1</v>
      </c>
    </row>
    <row r="110" spans="1:32" x14ac:dyDescent="0.25">
      <c r="A110" s="823">
        <v>101</v>
      </c>
      <c r="B110" s="1236" t="s">
        <v>60</v>
      </c>
      <c r="C110" s="1236"/>
      <c r="D110" s="1259" t="str">
        <f>VLOOKUP($A110,'Pre-Assessment Estimator'!$A$10:$Z$225,D$2,FALSE)</f>
        <v>Wat 03</v>
      </c>
      <c r="E110" s="1260" t="str">
        <f>VLOOKUP($A110,'Pre-Assessment Estimator'!$A$10:$Z$225,E$2,FALSE)</f>
        <v>Leak detection system</v>
      </c>
      <c r="F110" s="574">
        <f>VLOOKUP($A110,'Pre-Assessment Estimator'!$A$10:$Z$225,F$2,FALSE)</f>
        <v>1</v>
      </c>
      <c r="G110" s="580" t="str">
        <f>IF(VLOOKUP($A110,'Pre-Assessment Estimator'!$A$10:$Z$225,G$2,FALSE)=0,"",VLOOKUP($A110,'Pre-Assessment Estimator'!$A$10:$Z$225,G$2,FALSE))</f>
        <v/>
      </c>
      <c r="H110" s="1222">
        <f>VLOOKUP($A110,'Pre-Assessment Estimator'!$A$10:$Z$225,H$2,FALSE)</f>
        <v>0</v>
      </c>
      <c r="I110" s="576" t="str">
        <f>VLOOKUP($A110,'Pre-Assessment Estimator'!$A$10:$Z$225,I$2,FALSE)</f>
        <v>N/A</v>
      </c>
      <c r="J110" s="577" t="str">
        <f>IF(VLOOKUP($A110,'Pre-Assessment Estimator'!$A$10:$Z$225,J$2,FALSE)=0,"",VLOOKUP($A110,'Pre-Assessment Estimator'!$A$10:$Z$225,J$2,FALSE))</f>
        <v/>
      </c>
      <c r="K110" s="577" t="str">
        <f>IF(VLOOKUP($A110,'Pre-Assessment Estimator'!$A$10:$Z$225,K$2,FALSE)=0,"",VLOOKUP($A110,'Pre-Assessment Estimator'!$A$10:$Z$225,K$2,FALSE))</f>
        <v/>
      </c>
      <c r="L110" s="578" t="str">
        <f>IF(VLOOKUP($A110,'Pre-Assessment Estimator'!$A$10:$Z$225,L$2,FALSE)=0,"",VLOOKUP($A110,'Pre-Assessment Estimator'!$A$10:$Z$225,L$2,FALSE))</f>
        <v/>
      </c>
      <c r="M110" s="579"/>
      <c r="N110" s="580" t="str">
        <f>IF(VLOOKUP($A110,'Pre-Assessment Estimator'!$A$10:$Z$225,N$2,FALSE)=0,"",VLOOKUP($A110,'Pre-Assessment Estimator'!$A$10:$Z$225,N$2,FALSE))</f>
        <v/>
      </c>
      <c r="O110" s="575">
        <f>VLOOKUP($A110,'Pre-Assessment Estimator'!$A$10:$Z$225,O$2,FALSE)</f>
        <v>0</v>
      </c>
      <c r="P110" s="574" t="str">
        <f>VLOOKUP($A110,'Pre-Assessment Estimator'!$A$10:$Z$225,P$2,FALSE)</f>
        <v>N/A</v>
      </c>
      <c r="Q110" s="577" t="str">
        <f>IF(VLOOKUP($A110,'Pre-Assessment Estimator'!$A$10:$Z$225,Q$2,FALSE)=0,"",VLOOKUP($A110,'Pre-Assessment Estimator'!$A$10:$Z$225,Q$2,FALSE))</f>
        <v/>
      </c>
      <c r="R110" s="577" t="str">
        <f>IF(VLOOKUP($A110,'Pre-Assessment Estimator'!$A$10:$Z$225,R$2,FALSE)=0,"",VLOOKUP($A110,'Pre-Assessment Estimator'!$A$10:$Z$225,R$2,FALSE))</f>
        <v/>
      </c>
      <c r="S110" s="578" t="str">
        <f>IF(VLOOKUP($A110,'Pre-Assessment Estimator'!$A$10:$Z$225,S$2,FALSE)=0,"",VLOOKUP($A110,'Pre-Assessment Estimator'!$A$10:$Z$225,S$2,FALSE))</f>
        <v/>
      </c>
      <c r="T110" s="581"/>
      <c r="U110" s="580" t="str">
        <f>IF(VLOOKUP($A110,'Pre-Assessment Estimator'!$A$10:$Z$225,U$2,FALSE)=0,"",VLOOKUP($A110,'Pre-Assessment Estimator'!$A$10:$Z$225,U$2,FALSE))</f>
        <v/>
      </c>
      <c r="V110" s="575">
        <f>VLOOKUP($A110,'Pre-Assessment Estimator'!$A$10:$Z$225,V$2,FALSE)</f>
        <v>0</v>
      </c>
      <c r="W110" s="574" t="str">
        <f>VLOOKUP($A110,'Pre-Assessment Estimator'!$A$10:$Z$225,W$2,FALSE)</f>
        <v>N/A</v>
      </c>
      <c r="X110" s="577" t="str">
        <f>IF(VLOOKUP($A110,'Pre-Assessment Estimator'!$A$10:$Z$225,X$2,FALSE)=0,"",VLOOKUP($A110,'Pre-Assessment Estimator'!$A$10:$Z$225,X$2,FALSE))</f>
        <v/>
      </c>
      <c r="Y110" s="577" t="str">
        <f>IF(VLOOKUP($A110,'Pre-Assessment Estimator'!$A$10:$Z$225,Y$2,FALSE)=0,"",VLOOKUP($A110,'Pre-Assessment Estimator'!$A$10:$Z$225,Y$2,FALSE))</f>
        <v/>
      </c>
      <c r="Z110" s="370" t="str">
        <f>IF(VLOOKUP($A110,'Pre-Assessment Estimator'!$A$10:$Z$225,Z$2,FALSE)=0,"",VLOOKUP($A110,'Pre-Assessment Estimator'!$A$10:$Z$225,Z$2,FALSE))</f>
        <v/>
      </c>
      <c r="AA110" s="696">
        <v>100</v>
      </c>
      <c r="AB110" s="577"/>
      <c r="AF110" s="386">
        <f t="shared" si="2"/>
        <v>1</v>
      </c>
    </row>
    <row r="111" spans="1:32" x14ac:dyDescent="0.25">
      <c r="A111" s="823">
        <v>102</v>
      </c>
      <c r="B111" s="1236" t="s">
        <v>60</v>
      </c>
      <c r="C111" s="1236"/>
      <c r="D111" s="1259" t="str">
        <f>VLOOKUP($A111,'Pre-Assessment Estimator'!$A$10:$Z$225,D$2,FALSE)</f>
        <v>Wat 03</v>
      </c>
      <c r="E111" s="1260" t="str">
        <f>VLOOKUP($A111,'Pre-Assessment Estimator'!$A$10:$Z$225,E$2,FALSE)</f>
        <v>Flow control devices</v>
      </c>
      <c r="F111" s="574">
        <f>VLOOKUP($A111,'Pre-Assessment Estimator'!$A$10:$Z$225,F$2,FALSE)</f>
        <v>1</v>
      </c>
      <c r="G111" s="580" t="str">
        <f>IF(VLOOKUP($A111,'Pre-Assessment Estimator'!$A$10:$Z$225,G$2,FALSE)=0,"",VLOOKUP($A111,'Pre-Assessment Estimator'!$A$10:$Z$225,G$2,FALSE))</f>
        <v/>
      </c>
      <c r="H111" s="1222">
        <f>VLOOKUP($A111,'Pre-Assessment Estimator'!$A$10:$Z$225,H$2,FALSE)</f>
        <v>0</v>
      </c>
      <c r="I111" s="576" t="str">
        <f>VLOOKUP($A111,'Pre-Assessment Estimator'!$A$10:$Z$225,I$2,FALSE)</f>
        <v>N/A</v>
      </c>
      <c r="J111" s="577" t="str">
        <f>IF(VLOOKUP($A111,'Pre-Assessment Estimator'!$A$10:$Z$225,J$2,FALSE)=0,"",VLOOKUP($A111,'Pre-Assessment Estimator'!$A$10:$Z$225,J$2,FALSE))</f>
        <v/>
      </c>
      <c r="K111" s="577" t="str">
        <f>IF(VLOOKUP($A111,'Pre-Assessment Estimator'!$A$10:$Z$225,K$2,FALSE)=0,"",VLOOKUP($A111,'Pre-Assessment Estimator'!$A$10:$Z$225,K$2,FALSE))</f>
        <v/>
      </c>
      <c r="L111" s="578" t="str">
        <f>IF(VLOOKUP($A111,'Pre-Assessment Estimator'!$A$10:$Z$225,L$2,FALSE)=0,"",VLOOKUP($A111,'Pre-Assessment Estimator'!$A$10:$Z$225,L$2,FALSE))</f>
        <v/>
      </c>
      <c r="M111" s="579"/>
      <c r="N111" s="580" t="str">
        <f>IF(VLOOKUP($A111,'Pre-Assessment Estimator'!$A$10:$Z$225,N$2,FALSE)=0,"",VLOOKUP($A111,'Pre-Assessment Estimator'!$A$10:$Z$225,N$2,FALSE))</f>
        <v/>
      </c>
      <c r="O111" s="575">
        <f>VLOOKUP($A111,'Pre-Assessment Estimator'!$A$10:$Z$225,O$2,FALSE)</f>
        <v>0</v>
      </c>
      <c r="P111" s="574" t="str">
        <f>VLOOKUP($A111,'Pre-Assessment Estimator'!$A$10:$Z$225,P$2,FALSE)</f>
        <v>N/A</v>
      </c>
      <c r="Q111" s="577" t="str">
        <f>IF(VLOOKUP($A111,'Pre-Assessment Estimator'!$A$10:$Z$225,Q$2,FALSE)=0,"",VLOOKUP($A111,'Pre-Assessment Estimator'!$A$10:$Z$225,Q$2,FALSE))</f>
        <v/>
      </c>
      <c r="R111" s="577" t="str">
        <f>IF(VLOOKUP($A111,'Pre-Assessment Estimator'!$A$10:$Z$225,R$2,FALSE)=0,"",VLOOKUP($A111,'Pre-Assessment Estimator'!$A$10:$Z$225,R$2,FALSE))</f>
        <v/>
      </c>
      <c r="S111" s="578" t="str">
        <f>IF(VLOOKUP($A111,'Pre-Assessment Estimator'!$A$10:$Z$225,S$2,FALSE)=0,"",VLOOKUP($A111,'Pre-Assessment Estimator'!$A$10:$Z$225,S$2,FALSE))</f>
        <v/>
      </c>
      <c r="T111" s="581"/>
      <c r="U111" s="580" t="str">
        <f>IF(VLOOKUP($A111,'Pre-Assessment Estimator'!$A$10:$Z$225,U$2,FALSE)=0,"",VLOOKUP($A111,'Pre-Assessment Estimator'!$A$10:$Z$225,U$2,FALSE))</f>
        <v/>
      </c>
      <c r="V111" s="575">
        <f>VLOOKUP($A111,'Pre-Assessment Estimator'!$A$10:$Z$225,V$2,FALSE)</f>
        <v>0</v>
      </c>
      <c r="W111" s="574" t="str">
        <f>VLOOKUP($A111,'Pre-Assessment Estimator'!$A$10:$Z$225,W$2,FALSE)</f>
        <v>N/A</v>
      </c>
      <c r="X111" s="577" t="str">
        <f>IF(VLOOKUP($A111,'Pre-Assessment Estimator'!$A$10:$Z$225,X$2,FALSE)=0,"",VLOOKUP($A111,'Pre-Assessment Estimator'!$A$10:$Z$225,X$2,FALSE))</f>
        <v/>
      </c>
      <c r="Y111" s="577" t="str">
        <f>IF(VLOOKUP($A111,'Pre-Assessment Estimator'!$A$10:$Z$225,Y$2,FALSE)=0,"",VLOOKUP($A111,'Pre-Assessment Estimator'!$A$10:$Z$225,Y$2,FALSE))</f>
        <v/>
      </c>
      <c r="Z111" s="370" t="str">
        <f>IF(VLOOKUP($A111,'Pre-Assessment Estimator'!$A$10:$Z$225,Z$2,FALSE)=0,"",VLOOKUP($A111,'Pre-Assessment Estimator'!$A$10:$Z$225,Z$2,FALSE))</f>
        <v/>
      </c>
      <c r="AA111" s="696">
        <v>101</v>
      </c>
      <c r="AB111" s="577"/>
      <c r="AF111" s="386">
        <f t="shared" si="2"/>
        <v>1</v>
      </c>
    </row>
    <row r="112" spans="1:32" x14ac:dyDescent="0.25">
      <c r="A112" s="823">
        <v>103</v>
      </c>
      <c r="B112" s="1236" t="s">
        <v>60</v>
      </c>
      <c r="C112" s="1236"/>
      <c r="D112" s="1259" t="str">
        <f>VLOOKUP($A112,'Pre-Assessment Estimator'!$A$10:$Z$225,D$2,FALSE)</f>
        <v>Wat 03</v>
      </c>
      <c r="E112" s="1260" t="str">
        <f>VLOOKUP($A112,'Pre-Assessment Estimator'!$A$10:$Z$225,E$2,FALSE)</f>
        <v>Leak isolation</v>
      </c>
      <c r="F112" s="574">
        <f>VLOOKUP($A112,'Pre-Assessment Estimator'!$A$10:$Z$225,F$2,FALSE)</f>
        <v>0</v>
      </c>
      <c r="G112" s="580" t="str">
        <f>IF(VLOOKUP($A112,'Pre-Assessment Estimator'!$A$10:$Z$225,G$2,FALSE)=0,"",VLOOKUP($A112,'Pre-Assessment Estimator'!$A$10:$Z$225,G$2,FALSE))</f>
        <v/>
      </c>
      <c r="H112" s="1222">
        <f>VLOOKUP($A112,'Pre-Assessment Estimator'!$A$10:$Z$225,H$2,FALSE)</f>
        <v>0</v>
      </c>
      <c r="I112" s="576" t="str">
        <f>VLOOKUP($A112,'Pre-Assessment Estimator'!$A$10:$Z$225,I$2,FALSE)</f>
        <v>N/A</v>
      </c>
      <c r="J112" s="577" t="str">
        <f>IF(VLOOKUP($A112,'Pre-Assessment Estimator'!$A$10:$Z$225,J$2,FALSE)=0,"",VLOOKUP($A112,'Pre-Assessment Estimator'!$A$10:$Z$225,J$2,FALSE))</f>
        <v/>
      </c>
      <c r="K112" s="577" t="str">
        <f>IF(VLOOKUP($A112,'Pre-Assessment Estimator'!$A$10:$Z$225,K$2,FALSE)=0,"",VLOOKUP($A112,'Pre-Assessment Estimator'!$A$10:$Z$225,K$2,FALSE))</f>
        <v/>
      </c>
      <c r="L112" s="578" t="str">
        <f>IF(VLOOKUP($A112,'Pre-Assessment Estimator'!$A$10:$Z$225,L$2,FALSE)=0,"",VLOOKUP($A112,'Pre-Assessment Estimator'!$A$10:$Z$225,L$2,FALSE))</f>
        <v/>
      </c>
      <c r="M112" s="579"/>
      <c r="N112" s="580" t="str">
        <f>IF(VLOOKUP($A112,'Pre-Assessment Estimator'!$A$10:$Z$225,N$2,FALSE)=0,"",VLOOKUP($A112,'Pre-Assessment Estimator'!$A$10:$Z$225,N$2,FALSE))</f>
        <v/>
      </c>
      <c r="O112" s="575">
        <f>VLOOKUP($A112,'Pre-Assessment Estimator'!$A$10:$Z$225,O$2,FALSE)</f>
        <v>0</v>
      </c>
      <c r="P112" s="574" t="str">
        <f>VLOOKUP($A112,'Pre-Assessment Estimator'!$A$10:$Z$225,P$2,FALSE)</f>
        <v>N/A</v>
      </c>
      <c r="Q112" s="577" t="str">
        <f>IF(VLOOKUP($A112,'Pre-Assessment Estimator'!$A$10:$Z$225,Q$2,FALSE)=0,"",VLOOKUP($A112,'Pre-Assessment Estimator'!$A$10:$Z$225,Q$2,FALSE))</f>
        <v/>
      </c>
      <c r="R112" s="577" t="str">
        <f>IF(VLOOKUP($A112,'Pre-Assessment Estimator'!$A$10:$Z$225,R$2,FALSE)=0,"",VLOOKUP($A112,'Pre-Assessment Estimator'!$A$10:$Z$225,R$2,FALSE))</f>
        <v/>
      </c>
      <c r="S112" s="578" t="str">
        <f>IF(VLOOKUP($A112,'Pre-Assessment Estimator'!$A$10:$Z$225,S$2,FALSE)=0,"",VLOOKUP($A112,'Pre-Assessment Estimator'!$A$10:$Z$225,S$2,FALSE))</f>
        <v/>
      </c>
      <c r="T112" s="581"/>
      <c r="U112" s="580" t="str">
        <f>IF(VLOOKUP($A112,'Pre-Assessment Estimator'!$A$10:$Z$225,U$2,FALSE)=0,"",VLOOKUP($A112,'Pre-Assessment Estimator'!$A$10:$Z$225,U$2,FALSE))</f>
        <v/>
      </c>
      <c r="V112" s="575">
        <f>VLOOKUP($A112,'Pre-Assessment Estimator'!$A$10:$Z$225,V$2,FALSE)</f>
        <v>0</v>
      </c>
      <c r="W112" s="574" t="str">
        <f>VLOOKUP($A112,'Pre-Assessment Estimator'!$A$10:$Z$225,W$2,FALSE)</f>
        <v>N/A</v>
      </c>
      <c r="X112" s="577" t="str">
        <f>IF(VLOOKUP($A112,'Pre-Assessment Estimator'!$A$10:$Z$225,X$2,FALSE)=0,"",VLOOKUP($A112,'Pre-Assessment Estimator'!$A$10:$Z$225,X$2,FALSE))</f>
        <v/>
      </c>
      <c r="Y112" s="577" t="str">
        <f>IF(VLOOKUP($A112,'Pre-Assessment Estimator'!$A$10:$Z$225,Y$2,FALSE)=0,"",VLOOKUP($A112,'Pre-Assessment Estimator'!$A$10:$Z$225,Y$2,FALSE))</f>
        <v/>
      </c>
      <c r="Z112" s="370" t="str">
        <f>IF(VLOOKUP($A112,'Pre-Assessment Estimator'!$A$10:$Z$225,Z$2,FALSE)=0,"",VLOOKUP($A112,'Pre-Assessment Estimator'!$A$10:$Z$225,Z$2,FALSE))</f>
        <v/>
      </c>
      <c r="AA112" s="696">
        <v>102</v>
      </c>
      <c r="AB112" s="577"/>
      <c r="AF112" s="386">
        <f t="shared" si="2"/>
        <v>2</v>
      </c>
    </row>
    <row r="113" spans="1:32" x14ac:dyDescent="0.25">
      <c r="A113" s="823">
        <v>104</v>
      </c>
      <c r="B113" s="1236" t="s">
        <v>60</v>
      </c>
      <c r="C113" s="1236"/>
      <c r="D113" s="1258" t="str">
        <f>VLOOKUP($A113,'Pre-Assessment Estimator'!$A$10:$Z$225,D$2,FALSE)</f>
        <v>Wat 04</v>
      </c>
      <c r="E113" s="1258" t="str">
        <f>VLOOKUP($A113,'Pre-Assessment Estimator'!$A$10:$Z$225,E$2,FALSE)</f>
        <v>Wat 04 Water efficient equipment</v>
      </c>
      <c r="F113" s="574">
        <f>VLOOKUP($A113,'Pre-Assessment Estimator'!$A$10:$Z$225,F$2,FALSE)</f>
        <v>1</v>
      </c>
      <c r="G113" s="580" t="str">
        <f>IF(VLOOKUP($A113,'Pre-Assessment Estimator'!$A$10:$Z$225,G$2,FALSE)=0,"",VLOOKUP($A113,'Pre-Assessment Estimator'!$A$10:$Z$225,G$2,FALSE))</f>
        <v/>
      </c>
      <c r="H113" s="1222" t="str">
        <f>VLOOKUP($A113,'Pre-Assessment Estimator'!$A$10:$Z$225,H$2,FALSE)</f>
        <v>0 c. 0 %</v>
      </c>
      <c r="I113" s="576" t="str">
        <f>VLOOKUP($A113,'Pre-Assessment Estimator'!$A$10:$Z$225,I$2,FALSE)</f>
        <v>N/A</v>
      </c>
      <c r="J113" s="577" t="str">
        <f>IF(VLOOKUP($A113,'Pre-Assessment Estimator'!$A$10:$Z$225,J$2,FALSE)=0,"",VLOOKUP($A113,'Pre-Assessment Estimator'!$A$10:$Z$225,J$2,FALSE))</f>
        <v/>
      </c>
      <c r="K113" s="577" t="str">
        <f>IF(VLOOKUP($A113,'Pre-Assessment Estimator'!$A$10:$Z$225,K$2,FALSE)=0,"",VLOOKUP($A113,'Pre-Assessment Estimator'!$A$10:$Z$225,K$2,FALSE))</f>
        <v/>
      </c>
      <c r="L113" s="578" t="str">
        <f>IF(VLOOKUP($A113,'Pre-Assessment Estimator'!$A$10:$Z$225,L$2,FALSE)=0,"",VLOOKUP($A113,'Pre-Assessment Estimator'!$A$10:$Z$225,L$2,FALSE))</f>
        <v/>
      </c>
      <c r="M113" s="579"/>
      <c r="N113" s="580" t="str">
        <f>IF(VLOOKUP($A113,'Pre-Assessment Estimator'!$A$10:$Z$225,N$2,FALSE)=0,"",VLOOKUP($A113,'Pre-Assessment Estimator'!$A$10:$Z$225,N$2,FALSE))</f>
        <v/>
      </c>
      <c r="O113" s="575" t="str">
        <f>VLOOKUP($A113,'Pre-Assessment Estimator'!$A$10:$Z$225,O$2,FALSE)</f>
        <v>0 c. 0 %</v>
      </c>
      <c r="P113" s="574" t="str">
        <f>VLOOKUP($A113,'Pre-Assessment Estimator'!$A$10:$Z$225,P$2,FALSE)</f>
        <v>N/A</v>
      </c>
      <c r="Q113" s="577" t="str">
        <f>IF(VLOOKUP($A113,'Pre-Assessment Estimator'!$A$10:$Z$225,Q$2,FALSE)=0,"",VLOOKUP($A113,'Pre-Assessment Estimator'!$A$10:$Z$225,Q$2,FALSE))</f>
        <v/>
      </c>
      <c r="R113" s="577" t="str">
        <f>IF(VLOOKUP($A113,'Pre-Assessment Estimator'!$A$10:$Z$225,R$2,FALSE)=0,"",VLOOKUP($A113,'Pre-Assessment Estimator'!$A$10:$Z$225,R$2,FALSE))</f>
        <v/>
      </c>
      <c r="S113" s="578" t="str">
        <f>IF(VLOOKUP($A113,'Pre-Assessment Estimator'!$A$10:$Z$225,S$2,FALSE)=0,"",VLOOKUP($A113,'Pre-Assessment Estimator'!$A$10:$Z$225,S$2,FALSE))</f>
        <v/>
      </c>
      <c r="T113" s="581"/>
      <c r="U113" s="580" t="str">
        <f>IF(VLOOKUP($A113,'Pre-Assessment Estimator'!$A$10:$Z$225,U$2,FALSE)=0,"",VLOOKUP($A113,'Pre-Assessment Estimator'!$A$10:$Z$225,U$2,FALSE))</f>
        <v/>
      </c>
      <c r="V113" s="575" t="str">
        <f>VLOOKUP($A113,'Pre-Assessment Estimator'!$A$10:$Z$225,V$2,FALSE)</f>
        <v>0 c. 0 %</v>
      </c>
      <c r="W113" s="574" t="str">
        <f>VLOOKUP($A113,'Pre-Assessment Estimator'!$A$10:$Z$225,W$2,FALSE)</f>
        <v>N/A</v>
      </c>
      <c r="X113" s="577" t="str">
        <f>IF(VLOOKUP($A113,'Pre-Assessment Estimator'!$A$10:$Z$225,X$2,FALSE)=0,"",VLOOKUP($A113,'Pre-Assessment Estimator'!$A$10:$Z$225,X$2,FALSE))</f>
        <v/>
      </c>
      <c r="Y113" s="577" t="str">
        <f>IF(VLOOKUP($A113,'Pre-Assessment Estimator'!$A$10:$Z$225,Y$2,FALSE)=0,"",VLOOKUP($A113,'Pre-Assessment Estimator'!$A$10:$Z$225,Y$2,FALSE))</f>
        <v/>
      </c>
      <c r="Z113" s="370" t="str">
        <f>IF(VLOOKUP($A113,'Pre-Assessment Estimator'!$A$10:$Z$225,Z$2,FALSE)=0,"",VLOOKUP($A113,'Pre-Assessment Estimator'!$A$10:$Z$225,Z$2,FALSE))</f>
        <v/>
      </c>
      <c r="AA113" s="696">
        <v>103</v>
      </c>
      <c r="AB113" s="577"/>
      <c r="AF113" s="386">
        <f t="shared" si="2"/>
        <v>1</v>
      </c>
    </row>
    <row r="114" spans="1:32" x14ac:dyDescent="0.25">
      <c r="A114" s="823">
        <v>105</v>
      </c>
      <c r="B114" s="1236" t="s">
        <v>60</v>
      </c>
      <c r="C114" s="1236"/>
      <c r="D114" s="1259" t="str">
        <f>VLOOKUP($A114,'Pre-Assessment Estimator'!$A$10:$Z$225,D$2,FALSE)</f>
        <v>Wat 04</v>
      </c>
      <c r="E114" s="1260" t="str">
        <f>VLOOKUP($A114,'Pre-Assessment Estimator'!$A$10:$Z$225,E$2,FALSE)</f>
        <v>Water efficient equipment</v>
      </c>
      <c r="F114" s="574">
        <f>VLOOKUP($A114,'Pre-Assessment Estimator'!$A$10:$Z$225,F$2,FALSE)</f>
        <v>1</v>
      </c>
      <c r="G114" s="580" t="str">
        <f>IF(VLOOKUP($A114,'Pre-Assessment Estimator'!$A$10:$Z$225,G$2,FALSE)=0,"",VLOOKUP($A114,'Pre-Assessment Estimator'!$A$10:$Z$225,G$2,FALSE))</f>
        <v/>
      </c>
      <c r="H114" s="1222">
        <f>VLOOKUP($A114,'Pre-Assessment Estimator'!$A$10:$Z$225,H$2,FALSE)</f>
        <v>0</v>
      </c>
      <c r="I114" s="576" t="str">
        <f>VLOOKUP($A114,'Pre-Assessment Estimator'!$A$10:$Z$225,I$2,FALSE)</f>
        <v>N/A</v>
      </c>
      <c r="J114" s="577" t="str">
        <f>IF(VLOOKUP($A114,'Pre-Assessment Estimator'!$A$10:$Z$225,J$2,FALSE)=0,"",VLOOKUP($A114,'Pre-Assessment Estimator'!$A$10:$Z$225,J$2,FALSE))</f>
        <v/>
      </c>
      <c r="K114" s="577" t="str">
        <f>IF(VLOOKUP($A114,'Pre-Assessment Estimator'!$A$10:$Z$225,K$2,FALSE)=0,"",VLOOKUP($A114,'Pre-Assessment Estimator'!$A$10:$Z$225,K$2,FALSE))</f>
        <v/>
      </c>
      <c r="L114" s="578" t="str">
        <f>IF(VLOOKUP($A114,'Pre-Assessment Estimator'!$A$10:$Z$225,L$2,FALSE)=0,"",VLOOKUP($A114,'Pre-Assessment Estimator'!$A$10:$Z$225,L$2,FALSE))</f>
        <v/>
      </c>
      <c r="M114" s="579"/>
      <c r="N114" s="580" t="str">
        <f>IF(VLOOKUP($A114,'Pre-Assessment Estimator'!$A$10:$Z$225,N$2,FALSE)=0,"",VLOOKUP($A114,'Pre-Assessment Estimator'!$A$10:$Z$225,N$2,FALSE))</f>
        <v/>
      </c>
      <c r="O114" s="575">
        <f>VLOOKUP($A114,'Pre-Assessment Estimator'!$A$10:$Z$225,O$2,FALSE)</f>
        <v>0</v>
      </c>
      <c r="P114" s="574" t="str">
        <f>VLOOKUP($A114,'Pre-Assessment Estimator'!$A$10:$Z$225,P$2,FALSE)</f>
        <v>N/A</v>
      </c>
      <c r="Q114" s="577" t="str">
        <f>IF(VLOOKUP($A114,'Pre-Assessment Estimator'!$A$10:$Z$225,Q$2,FALSE)=0,"",VLOOKUP($A114,'Pre-Assessment Estimator'!$A$10:$Z$225,Q$2,FALSE))</f>
        <v/>
      </c>
      <c r="R114" s="577" t="str">
        <f>IF(VLOOKUP($A114,'Pre-Assessment Estimator'!$A$10:$Z$225,R$2,FALSE)=0,"",VLOOKUP($A114,'Pre-Assessment Estimator'!$A$10:$Z$225,R$2,FALSE))</f>
        <v/>
      </c>
      <c r="S114" s="578" t="str">
        <f>IF(VLOOKUP($A114,'Pre-Assessment Estimator'!$A$10:$Z$225,S$2,FALSE)=0,"",VLOOKUP($A114,'Pre-Assessment Estimator'!$A$10:$Z$225,S$2,FALSE))</f>
        <v/>
      </c>
      <c r="T114" s="581"/>
      <c r="U114" s="580" t="str">
        <f>IF(VLOOKUP($A114,'Pre-Assessment Estimator'!$A$10:$Z$225,U$2,FALSE)=0,"",VLOOKUP($A114,'Pre-Assessment Estimator'!$A$10:$Z$225,U$2,FALSE))</f>
        <v/>
      </c>
      <c r="V114" s="575">
        <f>VLOOKUP($A114,'Pre-Assessment Estimator'!$A$10:$Z$225,V$2,FALSE)</f>
        <v>0</v>
      </c>
      <c r="W114" s="574" t="str">
        <f>VLOOKUP($A114,'Pre-Assessment Estimator'!$A$10:$Z$225,W$2,FALSE)</f>
        <v>N/A</v>
      </c>
      <c r="X114" s="577" t="str">
        <f>IF(VLOOKUP($A114,'Pre-Assessment Estimator'!$A$10:$Z$225,X$2,FALSE)=0,"",VLOOKUP($A114,'Pre-Assessment Estimator'!$A$10:$Z$225,X$2,FALSE))</f>
        <v/>
      </c>
      <c r="Y114" s="577" t="str">
        <f>IF(VLOOKUP($A114,'Pre-Assessment Estimator'!$A$10:$Z$225,Y$2,FALSE)=0,"",VLOOKUP($A114,'Pre-Assessment Estimator'!$A$10:$Z$225,Y$2,FALSE))</f>
        <v/>
      </c>
      <c r="Z114" s="370" t="str">
        <f>IF(VLOOKUP($A114,'Pre-Assessment Estimator'!$A$10:$Z$225,Z$2,FALSE)=0,"",VLOOKUP($A114,'Pre-Assessment Estimator'!$A$10:$Z$225,Z$2,FALSE))</f>
        <v/>
      </c>
      <c r="AA114" s="696">
        <v>104</v>
      </c>
      <c r="AB114" s="577" t="str">
        <f>IF(VLOOKUP($A114,'Pre-Assessment Estimator'!$A$10:$AB$225,AB$2,FALSE)=0,"",VLOOKUP($A114,'Pre-Assessment Estimator'!$A$10:$AB$225,AB$2,FALSE))</f>
        <v/>
      </c>
      <c r="AF114" s="386">
        <f t="shared" si="2"/>
        <v>1</v>
      </c>
    </row>
    <row r="115" spans="1:32" ht="30.75" thickBot="1" x14ac:dyDescent="0.3">
      <c r="A115" s="823">
        <v>106</v>
      </c>
      <c r="B115" s="1236" t="s">
        <v>60</v>
      </c>
      <c r="C115" s="1236"/>
      <c r="D115" s="1261"/>
      <c r="E115" s="1261" t="str">
        <f>VLOOKUP($A115,'Pre-Assessment Estimator'!$A$10:$Z$225,E$2,FALSE)</f>
        <v>Total performance water</v>
      </c>
      <c r="F115" s="582">
        <f>VLOOKUP($A115,'Pre-Assessment Estimator'!$A$10:$Z$225,F$2,FALSE)</f>
        <v>9</v>
      </c>
      <c r="G115" s="584" t="str">
        <f>IF(VLOOKUP($A115,'Pre-Assessment Estimator'!$A$10:$Z$225,G$2,FALSE)=0,"",VLOOKUP($A115,'Pre-Assessment Estimator'!$A$10:$Z$225,G$2,FALSE))</f>
        <v/>
      </c>
      <c r="H115" s="583">
        <f>VLOOKUP($A115,'Pre-Assessment Estimator'!$A$10:$Z$225,H$2,FALSE)</f>
        <v>0</v>
      </c>
      <c r="I115" s="582" t="str">
        <f>VLOOKUP($A115,'Pre-Assessment Estimator'!$A$10:$Z$225,I$2,FALSE)</f>
        <v>Credits achieved: 0</v>
      </c>
      <c r="J115" s="1204" t="str">
        <f>IF(VLOOKUP($A115,'Pre-Assessment Estimator'!$A$10:$Z$225,J$2,FALSE)=0,"",VLOOKUP($A115,'Pre-Assessment Estimator'!$A$10:$Z$225,J$2,FALSE))</f>
        <v/>
      </c>
      <c r="K115" s="1204" t="str">
        <f>IF(VLOOKUP($A115,'Pre-Assessment Estimator'!$A$10:$Z$225,K$2,FALSE)=0,"",VLOOKUP($A115,'Pre-Assessment Estimator'!$A$10:$Z$225,K$2,FALSE))</f>
        <v/>
      </c>
      <c r="L115" s="1223" t="str">
        <f>IF(VLOOKUP($A115,'Pre-Assessment Estimator'!$A$10:$Z$225,L$2,FALSE)=0,"",VLOOKUP($A115,'Pre-Assessment Estimator'!$A$10:$Z$225,L$2,FALSE))</f>
        <v/>
      </c>
      <c r="M115" s="1224"/>
      <c r="N115" s="584" t="str">
        <f>IF(VLOOKUP($A115,'Pre-Assessment Estimator'!$A$10:$Z$225,N$2,FALSE)=0,"",VLOOKUP($A115,'Pre-Assessment Estimator'!$A$10:$Z$225,N$2,FALSE))</f>
        <v/>
      </c>
      <c r="O115" s="583">
        <f>VLOOKUP($A115,'Pre-Assessment Estimator'!$A$10:$Z$225,O$2,FALSE)</f>
        <v>0</v>
      </c>
      <c r="P115" s="582" t="str">
        <f>VLOOKUP($A115,'Pre-Assessment Estimator'!$A$10:$Z$225,P$2,FALSE)</f>
        <v>Credits achieved: 0</v>
      </c>
      <c r="Q115" s="1204" t="str">
        <f>IF(VLOOKUP($A115,'Pre-Assessment Estimator'!$A$10:$Z$225,Q$2,FALSE)=0,"",VLOOKUP($A115,'Pre-Assessment Estimator'!$A$10:$Z$225,Q$2,FALSE))</f>
        <v/>
      </c>
      <c r="R115" s="1204" t="str">
        <f>IF(VLOOKUP($A115,'Pre-Assessment Estimator'!$A$10:$Z$225,R$2,FALSE)=0,"",VLOOKUP($A115,'Pre-Assessment Estimator'!$A$10:$Z$225,R$2,FALSE))</f>
        <v/>
      </c>
      <c r="S115" s="1223" t="str">
        <f>IF(VLOOKUP($A115,'Pre-Assessment Estimator'!$A$10:$Z$225,S$2,FALSE)=0,"",VLOOKUP($A115,'Pre-Assessment Estimator'!$A$10:$Z$225,S$2,FALSE))</f>
        <v/>
      </c>
      <c r="T115" s="1225"/>
      <c r="U115" s="584" t="str">
        <f>IF(VLOOKUP($A115,'Pre-Assessment Estimator'!$A$10:$Z$225,U$2,FALSE)=0,"",VLOOKUP($A115,'Pre-Assessment Estimator'!$A$10:$Z$225,U$2,FALSE))</f>
        <v/>
      </c>
      <c r="V115" s="583">
        <f>VLOOKUP($A115,'Pre-Assessment Estimator'!$A$10:$Z$225,V$2,FALSE)</f>
        <v>0</v>
      </c>
      <c r="W115" s="582" t="str">
        <f>VLOOKUP($A115,'Pre-Assessment Estimator'!$A$10:$Z$225,W$2,FALSE)</f>
        <v>Credits achieved: 0</v>
      </c>
      <c r="X115" s="1204" t="str">
        <f>IF(VLOOKUP($A115,'Pre-Assessment Estimator'!$A$10:$Z$225,X$2,FALSE)=0,"",VLOOKUP($A115,'Pre-Assessment Estimator'!$A$10:$Z$225,X$2,FALSE))</f>
        <v/>
      </c>
      <c r="Y115" s="1204" t="str">
        <f>IF(VLOOKUP($A115,'Pre-Assessment Estimator'!$A$10:$Z$225,Y$2,FALSE)=0,"",VLOOKUP($A115,'Pre-Assessment Estimator'!$A$10:$Z$225,Y$2,FALSE))</f>
        <v/>
      </c>
      <c r="Z115" s="1226" t="str">
        <f>IF(VLOOKUP($A115,'Pre-Assessment Estimator'!$A$10:$Z$225,Z$2,FALSE)=0,"",VLOOKUP($A115,'Pre-Assessment Estimator'!$A$10:$Z$225,Z$2,FALSE))</f>
        <v/>
      </c>
      <c r="AA115" s="696">
        <v>105</v>
      </c>
      <c r="AB115" s="585"/>
      <c r="AC115" s="389"/>
      <c r="AD115" s="389"/>
      <c r="AE115" s="389"/>
      <c r="AF115" s="386">
        <f t="shared" si="2"/>
        <v>1</v>
      </c>
    </row>
    <row r="116" spans="1:32" x14ac:dyDescent="0.25">
      <c r="A116" s="823">
        <v>107</v>
      </c>
      <c r="B116" s="1236" t="s">
        <v>69</v>
      </c>
      <c r="C116" s="1236"/>
      <c r="D116" s="585"/>
      <c r="E116" s="585"/>
      <c r="F116" s="586"/>
      <c r="G116" s="586"/>
      <c r="H116" s="586"/>
      <c r="I116" s="586"/>
      <c r="J116" s="585"/>
      <c r="K116" s="586"/>
      <c r="L116" s="585"/>
      <c r="M116" s="579"/>
      <c r="N116" s="586"/>
      <c r="O116" s="586"/>
      <c r="P116" s="586"/>
      <c r="Q116" s="585"/>
      <c r="R116" s="586"/>
      <c r="S116" s="585"/>
      <c r="T116" s="581"/>
      <c r="U116" s="586"/>
      <c r="V116" s="586"/>
      <c r="W116" s="586"/>
      <c r="X116" s="585"/>
      <c r="Y116" s="586"/>
      <c r="Z116" s="343"/>
      <c r="AA116" s="696">
        <v>106</v>
      </c>
      <c r="AB116" s="697"/>
      <c r="AF116" s="386">
        <f t="shared" si="2"/>
        <v>1</v>
      </c>
    </row>
    <row r="117" spans="1:32" ht="18.75" x14ac:dyDescent="0.25">
      <c r="A117" s="823">
        <v>108</v>
      </c>
      <c r="B117" s="1236" t="s">
        <v>69</v>
      </c>
      <c r="C117" s="1236"/>
      <c r="D117" s="587"/>
      <c r="E117" s="587" t="s">
        <v>69</v>
      </c>
      <c r="F117" s="570"/>
      <c r="G117" s="570"/>
      <c r="H117" s="570"/>
      <c r="I117" s="570"/>
      <c r="J117" s="571"/>
      <c r="K117" s="570"/>
      <c r="L117" s="571"/>
      <c r="M117" s="579"/>
      <c r="N117" s="570"/>
      <c r="O117" s="570"/>
      <c r="P117" s="570"/>
      <c r="Q117" s="571"/>
      <c r="R117" s="570"/>
      <c r="S117" s="571"/>
      <c r="T117" s="581"/>
      <c r="U117" s="570"/>
      <c r="V117" s="570"/>
      <c r="W117" s="570"/>
      <c r="X117" s="571"/>
      <c r="Y117" s="570"/>
      <c r="Z117" s="411"/>
      <c r="AA117" s="696">
        <v>107</v>
      </c>
      <c r="AB117" s="577" t="str">
        <f>IF(VLOOKUP($A117,'Pre-Assessment Estimator'!$A$10:$AB$225,AB$2,FALSE)=0,"",VLOOKUP($A117,'Pre-Assessment Estimator'!$A$10:$AB$225,AB$2,FALSE))</f>
        <v/>
      </c>
      <c r="AF117" s="386">
        <f t="shared" si="2"/>
        <v>1</v>
      </c>
    </row>
    <row r="118" spans="1:32" ht="30" x14ac:dyDescent="0.25">
      <c r="A118" s="823">
        <v>109</v>
      </c>
      <c r="B118" s="1236" t="s">
        <v>69</v>
      </c>
      <c r="C118" s="1236"/>
      <c r="D118" s="1258" t="str">
        <f>VLOOKUP($A118,'Pre-Assessment Estimator'!$A$10:$Z$225,D$2,FALSE)</f>
        <v>Mat 01</v>
      </c>
      <c r="E118" s="1258" t="str">
        <f>VLOOKUP($A118,'Pre-Assessment Estimator'!$A$10:$Z$225,E$2,FALSE)</f>
        <v>Mat 01 Environmental impacts from construction products - Building life cycle assessment (LCA)</v>
      </c>
      <c r="F118" s="574">
        <f>VLOOKUP($A118,'Pre-Assessment Estimator'!$A$10:$Z$225,F$2,FALSE)</f>
        <v>5</v>
      </c>
      <c r="G118" s="580" t="str">
        <f>IF(VLOOKUP($A118,'Pre-Assessment Estimator'!$A$10:$Z$225,G$2,FALSE)=0,"",VLOOKUP($A118,'Pre-Assessment Estimator'!$A$10:$Z$225,G$2,FALSE))</f>
        <v/>
      </c>
      <c r="H118" s="1222" t="str">
        <f>VLOOKUP($A118,'Pre-Assessment Estimator'!$A$10:$Z$225,H$2,FALSE)</f>
        <v>0 c. 0 %</v>
      </c>
      <c r="I118" s="576" t="str">
        <f>VLOOKUP($A118,'Pre-Assessment Estimator'!$A$10:$Z$225,I$2,FALSE)</f>
        <v>N/A</v>
      </c>
      <c r="J118" s="577" t="str">
        <f>IF(VLOOKUP($A118,'Pre-Assessment Estimator'!$A$10:$Z$225,J$2,FALSE)=0,"",VLOOKUP($A118,'Pre-Assessment Estimator'!$A$10:$Z$225,J$2,FALSE))</f>
        <v/>
      </c>
      <c r="K118" s="577" t="str">
        <f>IF(VLOOKUP($A118,'Pre-Assessment Estimator'!$A$10:$Z$225,K$2,FALSE)=0,"",VLOOKUP($A118,'Pre-Assessment Estimator'!$A$10:$Z$225,K$2,FALSE))</f>
        <v/>
      </c>
      <c r="L118" s="578" t="str">
        <f>IF(VLOOKUP($A118,'Pre-Assessment Estimator'!$A$10:$Z$225,L$2,FALSE)=0,"",VLOOKUP($A118,'Pre-Assessment Estimator'!$A$10:$Z$225,L$2,FALSE))</f>
        <v/>
      </c>
      <c r="M118" s="579"/>
      <c r="N118" s="580" t="str">
        <f>IF(VLOOKUP($A118,'Pre-Assessment Estimator'!$A$10:$Z$225,N$2,FALSE)=0,"",VLOOKUP($A118,'Pre-Assessment Estimator'!$A$10:$Z$225,N$2,FALSE))</f>
        <v/>
      </c>
      <c r="O118" s="575" t="str">
        <f>VLOOKUP($A118,'Pre-Assessment Estimator'!$A$10:$Z$225,O$2,FALSE)</f>
        <v>0 c. 0 %</v>
      </c>
      <c r="P118" s="574" t="str">
        <f>VLOOKUP($A118,'Pre-Assessment Estimator'!$A$10:$Z$225,P$2,FALSE)</f>
        <v>N/A</v>
      </c>
      <c r="Q118" s="577" t="str">
        <f>IF(VLOOKUP($A118,'Pre-Assessment Estimator'!$A$10:$Z$225,Q$2,FALSE)=0,"",VLOOKUP($A118,'Pre-Assessment Estimator'!$A$10:$Z$225,Q$2,FALSE))</f>
        <v/>
      </c>
      <c r="R118" s="577" t="str">
        <f>IF(VLOOKUP($A118,'Pre-Assessment Estimator'!$A$10:$Z$225,R$2,FALSE)=0,"",VLOOKUP($A118,'Pre-Assessment Estimator'!$A$10:$Z$225,R$2,FALSE))</f>
        <v/>
      </c>
      <c r="S118" s="578" t="str">
        <f>IF(VLOOKUP($A118,'Pre-Assessment Estimator'!$A$10:$Z$225,S$2,FALSE)=0,"",VLOOKUP($A118,'Pre-Assessment Estimator'!$A$10:$Z$225,S$2,FALSE))</f>
        <v/>
      </c>
      <c r="T118" s="581"/>
      <c r="U118" s="580" t="str">
        <f>IF(VLOOKUP($A118,'Pre-Assessment Estimator'!$A$10:$Z$225,U$2,FALSE)=0,"",VLOOKUP($A118,'Pre-Assessment Estimator'!$A$10:$Z$225,U$2,FALSE))</f>
        <v/>
      </c>
      <c r="V118" s="575" t="str">
        <f>VLOOKUP($A118,'Pre-Assessment Estimator'!$A$10:$Z$225,V$2,FALSE)</f>
        <v>0 c. 0 %</v>
      </c>
      <c r="W118" s="574" t="str">
        <f>VLOOKUP($A118,'Pre-Assessment Estimator'!$A$10:$Z$225,W$2,FALSE)</f>
        <v>N/A</v>
      </c>
      <c r="X118" s="577" t="str">
        <f>IF(VLOOKUP($A118,'Pre-Assessment Estimator'!$A$10:$Z$225,X$2,FALSE)=0,"",VLOOKUP($A118,'Pre-Assessment Estimator'!$A$10:$Z$225,X$2,FALSE))</f>
        <v/>
      </c>
      <c r="Y118" s="577" t="str">
        <f>IF(VLOOKUP($A118,'Pre-Assessment Estimator'!$A$10:$Z$225,Y$2,FALSE)=0,"",VLOOKUP($A118,'Pre-Assessment Estimator'!$A$10:$Z$225,Y$2,FALSE))</f>
        <v/>
      </c>
      <c r="Z118" s="370" t="str">
        <f>IF(VLOOKUP($A118,'Pre-Assessment Estimator'!$A$10:$Z$225,Z$2,FALSE)=0,"",VLOOKUP($A118,'Pre-Assessment Estimator'!$A$10:$Z$225,Z$2,FALSE))</f>
        <v/>
      </c>
      <c r="AA118" s="696">
        <v>108</v>
      </c>
      <c r="AB118" s="577"/>
      <c r="AF118" s="386">
        <f t="shared" si="2"/>
        <v>1</v>
      </c>
    </row>
    <row r="119" spans="1:32" x14ac:dyDescent="0.25">
      <c r="A119" s="823">
        <v>110</v>
      </c>
      <c r="B119" s="1236" t="s">
        <v>69</v>
      </c>
      <c r="C119" s="1236"/>
      <c r="D119" s="1259" t="str">
        <f>VLOOKUP($A119,'Pre-Assessment Estimator'!$A$10:$Z$225,D$2,FALSE)</f>
        <v>Mat 01</v>
      </c>
      <c r="E119" s="1260" t="str">
        <f>VLOOKUP($A119,'Pre-Assessment Estimator'!$A$10:$Z$225,E$2,FALSE)</f>
        <v>Pre-requisite: early stage greenhouse gas calculation</v>
      </c>
      <c r="F119" s="574" t="str">
        <f>VLOOKUP($A119,'Pre-Assessment Estimator'!$A$10:$Z$225,F$2,FALSE)</f>
        <v>Yes/No</v>
      </c>
      <c r="G119" s="580" t="str">
        <f>IF(VLOOKUP($A119,'Pre-Assessment Estimator'!$A$10:$Z$225,G$2,FALSE)=0,"",VLOOKUP($A119,'Pre-Assessment Estimator'!$A$10:$Z$225,G$2,FALSE))</f>
        <v/>
      </c>
      <c r="H119" s="1222" t="str">
        <f>VLOOKUP($A119,'Pre-Assessment Estimator'!$A$10:$Z$225,H$2,FALSE)</f>
        <v>-</v>
      </c>
      <c r="I119" s="576" t="str">
        <f>VLOOKUP($A119,'Pre-Assessment Estimator'!$A$10:$Z$225,I$2,FALSE)</f>
        <v>Unclassified</v>
      </c>
      <c r="J119" s="577" t="str">
        <f>IF(VLOOKUP($A119,'Pre-Assessment Estimator'!$A$10:$Z$225,J$2,FALSE)=0,"",VLOOKUP($A119,'Pre-Assessment Estimator'!$A$10:$Z$225,J$2,FALSE))</f>
        <v/>
      </c>
      <c r="K119" s="577" t="str">
        <f>IF(VLOOKUP($A119,'Pre-Assessment Estimator'!$A$10:$Z$225,K$2,FALSE)=0,"",VLOOKUP($A119,'Pre-Assessment Estimator'!$A$10:$Z$225,K$2,FALSE))</f>
        <v/>
      </c>
      <c r="L119" s="578" t="str">
        <f>IF(VLOOKUP($A119,'Pre-Assessment Estimator'!$A$10:$Z$225,L$2,FALSE)=0,"",VLOOKUP($A119,'Pre-Assessment Estimator'!$A$10:$Z$225,L$2,FALSE))</f>
        <v/>
      </c>
      <c r="M119" s="579"/>
      <c r="N119" s="580" t="str">
        <f>IF(VLOOKUP($A119,'Pre-Assessment Estimator'!$A$10:$Z$225,N$2,FALSE)=0,"",VLOOKUP($A119,'Pre-Assessment Estimator'!$A$10:$Z$225,N$2,FALSE))</f>
        <v/>
      </c>
      <c r="O119" s="575" t="str">
        <f>VLOOKUP($A119,'Pre-Assessment Estimator'!$A$10:$Z$225,O$2,FALSE)</f>
        <v>-</v>
      </c>
      <c r="P119" s="574" t="str">
        <f>VLOOKUP($A119,'Pre-Assessment Estimator'!$A$10:$Z$225,P$2,FALSE)</f>
        <v>Unclassified</v>
      </c>
      <c r="Q119" s="577" t="str">
        <f>IF(VLOOKUP($A119,'Pre-Assessment Estimator'!$A$10:$Z$225,Q$2,FALSE)=0,"",VLOOKUP($A119,'Pre-Assessment Estimator'!$A$10:$Z$225,Q$2,FALSE))</f>
        <v/>
      </c>
      <c r="R119" s="577" t="str">
        <f>IF(VLOOKUP($A119,'Pre-Assessment Estimator'!$A$10:$Z$225,R$2,FALSE)=0,"",VLOOKUP($A119,'Pre-Assessment Estimator'!$A$10:$Z$225,R$2,FALSE))</f>
        <v/>
      </c>
      <c r="S119" s="578" t="str">
        <f>IF(VLOOKUP($A119,'Pre-Assessment Estimator'!$A$10:$Z$225,S$2,FALSE)=0,"",VLOOKUP($A119,'Pre-Assessment Estimator'!$A$10:$Z$225,S$2,FALSE))</f>
        <v/>
      </c>
      <c r="T119" s="581"/>
      <c r="U119" s="580" t="str">
        <f>IF(VLOOKUP($A119,'Pre-Assessment Estimator'!$A$10:$Z$225,U$2,FALSE)=0,"",VLOOKUP($A119,'Pre-Assessment Estimator'!$A$10:$Z$225,U$2,FALSE))</f>
        <v/>
      </c>
      <c r="V119" s="575" t="str">
        <f>VLOOKUP($A119,'Pre-Assessment Estimator'!$A$10:$Z$225,V$2,FALSE)</f>
        <v>-</v>
      </c>
      <c r="W119" s="574" t="str">
        <f>VLOOKUP($A119,'Pre-Assessment Estimator'!$A$10:$Z$225,W$2,FALSE)</f>
        <v>Unclassified</v>
      </c>
      <c r="X119" s="577" t="str">
        <f>IF(VLOOKUP($A119,'Pre-Assessment Estimator'!$A$10:$Z$225,X$2,FALSE)=0,"",VLOOKUP($A119,'Pre-Assessment Estimator'!$A$10:$Z$225,X$2,FALSE))</f>
        <v/>
      </c>
      <c r="Y119" s="577" t="str">
        <f>IF(VLOOKUP($A119,'Pre-Assessment Estimator'!$A$10:$Z$225,Y$2,FALSE)=0,"",VLOOKUP($A119,'Pre-Assessment Estimator'!$A$10:$Z$225,Y$2,FALSE))</f>
        <v/>
      </c>
      <c r="Z119" s="370" t="str">
        <f>IF(VLOOKUP($A119,'Pre-Assessment Estimator'!$A$10:$Z$225,Z$2,FALSE)=0,"",VLOOKUP($A119,'Pre-Assessment Estimator'!$A$10:$Z$225,Z$2,FALSE))</f>
        <v/>
      </c>
      <c r="AA119" s="696">
        <v>109</v>
      </c>
      <c r="AB119" s="577"/>
      <c r="AF119" s="386">
        <f t="shared" si="2"/>
        <v>1</v>
      </c>
    </row>
    <row r="120" spans="1:32" x14ac:dyDescent="0.25">
      <c r="A120" s="823">
        <v>111</v>
      </c>
      <c r="B120" s="1236" t="s">
        <v>69</v>
      </c>
      <c r="C120" s="1236"/>
      <c r="D120" s="1259" t="str">
        <f>VLOOKUP($A120,'Pre-Assessment Estimator'!$A$10:$Z$225,D$2,FALSE)</f>
        <v>Mat 01</v>
      </c>
      <c r="E120" s="1260" t="str">
        <f>VLOOKUP($A120,'Pre-Assessment Estimator'!$A$10:$Z$225,E$2,FALSE)</f>
        <v>Reduction of greenhouse gas emissions</v>
      </c>
      <c r="F120" s="574">
        <f>VLOOKUP($A120,'Pre-Assessment Estimator'!$A$10:$Z$225,F$2,FALSE)</f>
        <v>3</v>
      </c>
      <c r="G120" s="580" t="str">
        <f>IF(VLOOKUP($A120,'Pre-Assessment Estimator'!$A$10:$Z$225,G$2,FALSE)=0,"",VLOOKUP($A120,'Pre-Assessment Estimator'!$A$10:$Z$225,G$2,FALSE))</f>
        <v/>
      </c>
      <c r="H120" s="1222">
        <f>VLOOKUP($A120,'Pre-Assessment Estimator'!$A$10:$Z$225,H$2,FALSE)</f>
        <v>0</v>
      </c>
      <c r="I120" s="576" t="str">
        <f>VLOOKUP($A120,'Pre-Assessment Estimator'!$A$10:$Z$225,I$2,FALSE)</f>
        <v>Good</v>
      </c>
      <c r="J120" s="577" t="str">
        <f>IF(VLOOKUP($A120,'Pre-Assessment Estimator'!$A$10:$Z$225,J$2,FALSE)=0,"",VLOOKUP($A120,'Pre-Assessment Estimator'!$A$10:$Z$225,J$2,FALSE))</f>
        <v/>
      </c>
      <c r="K120" s="577" t="str">
        <f>IF(VLOOKUP($A120,'Pre-Assessment Estimator'!$A$10:$Z$225,K$2,FALSE)=0,"",VLOOKUP($A120,'Pre-Assessment Estimator'!$A$10:$Z$225,K$2,FALSE))</f>
        <v/>
      </c>
      <c r="L120" s="578" t="str">
        <f>IF(VLOOKUP($A120,'Pre-Assessment Estimator'!$A$10:$Z$225,L$2,FALSE)=0,"",VLOOKUP($A120,'Pre-Assessment Estimator'!$A$10:$Z$225,L$2,FALSE))</f>
        <v/>
      </c>
      <c r="M120" s="579"/>
      <c r="N120" s="580" t="str">
        <f>IF(VLOOKUP($A120,'Pre-Assessment Estimator'!$A$10:$Z$225,N$2,FALSE)=0,"",VLOOKUP($A120,'Pre-Assessment Estimator'!$A$10:$Z$225,N$2,FALSE))</f>
        <v/>
      </c>
      <c r="O120" s="575">
        <f>VLOOKUP($A120,'Pre-Assessment Estimator'!$A$10:$Z$225,O$2,FALSE)</f>
        <v>0</v>
      </c>
      <c r="P120" s="574" t="str">
        <f>VLOOKUP($A120,'Pre-Assessment Estimator'!$A$10:$Z$225,P$2,FALSE)</f>
        <v>Good</v>
      </c>
      <c r="Q120" s="577" t="str">
        <f>IF(VLOOKUP($A120,'Pre-Assessment Estimator'!$A$10:$Z$225,Q$2,FALSE)=0,"",VLOOKUP($A120,'Pre-Assessment Estimator'!$A$10:$Z$225,Q$2,FALSE))</f>
        <v/>
      </c>
      <c r="R120" s="577" t="str">
        <f>IF(VLOOKUP($A120,'Pre-Assessment Estimator'!$A$10:$Z$225,R$2,FALSE)=0,"",VLOOKUP($A120,'Pre-Assessment Estimator'!$A$10:$Z$225,R$2,FALSE))</f>
        <v/>
      </c>
      <c r="S120" s="578" t="str">
        <f>IF(VLOOKUP($A120,'Pre-Assessment Estimator'!$A$10:$Z$225,S$2,FALSE)=0,"",VLOOKUP($A120,'Pre-Assessment Estimator'!$A$10:$Z$225,S$2,FALSE))</f>
        <v/>
      </c>
      <c r="T120" s="581"/>
      <c r="U120" s="580" t="str">
        <f>IF(VLOOKUP($A120,'Pre-Assessment Estimator'!$A$10:$Z$225,U$2,FALSE)=0,"",VLOOKUP($A120,'Pre-Assessment Estimator'!$A$10:$Z$225,U$2,FALSE))</f>
        <v/>
      </c>
      <c r="V120" s="575">
        <f>VLOOKUP($A120,'Pre-Assessment Estimator'!$A$10:$Z$225,V$2,FALSE)</f>
        <v>0</v>
      </c>
      <c r="W120" s="574" t="str">
        <f>VLOOKUP($A120,'Pre-Assessment Estimator'!$A$10:$Z$225,W$2,FALSE)</f>
        <v>Good</v>
      </c>
      <c r="X120" s="577" t="str">
        <f>IF(VLOOKUP($A120,'Pre-Assessment Estimator'!$A$10:$Z$225,X$2,FALSE)=0,"",VLOOKUP($A120,'Pre-Assessment Estimator'!$A$10:$Z$225,X$2,FALSE))</f>
        <v/>
      </c>
      <c r="Y120" s="577" t="str">
        <f>IF(VLOOKUP($A120,'Pre-Assessment Estimator'!$A$10:$Z$225,Y$2,FALSE)=0,"",VLOOKUP($A120,'Pre-Assessment Estimator'!$A$10:$Z$225,Y$2,FALSE))</f>
        <v/>
      </c>
      <c r="Z120" s="370" t="str">
        <f>IF(VLOOKUP($A120,'Pre-Assessment Estimator'!$A$10:$Z$225,Z$2,FALSE)=0,"",VLOOKUP($A120,'Pre-Assessment Estimator'!$A$10:$Z$225,Z$2,FALSE))</f>
        <v/>
      </c>
      <c r="AA120" s="696">
        <v>110</v>
      </c>
      <c r="AB120" s="577"/>
      <c r="AF120" s="386">
        <f t="shared" si="2"/>
        <v>1</v>
      </c>
    </row>
    <row r="121" spans="1:32" x14ac:dyDescent="0.25">
      <c r="A121" s="823">
        <v>112</v>
      </c>
      <c r="B121" s="1236" t="s">
        <v>69</v>
      </c>
      <c r="C121" s="1236"/>
      <c r="D121" s="1259" t="str">
        <f>VLOOKUP($A121,'Pre-Assessment Estimator'!$A$10:$Z$225,D$2,FALSE)</f>
        <v>Mat 01</v>
      </c>
      <c r="E121" s="1260" t="str">
        <f>VLOOKUP($A121,'Pre-Assessment Estimator'!$A$10:$Z$225,E$2,FALSE)</f>
        <v>Life cycle assessment of the building</v>
      </c>
      <c r="F121" s="574">
        <f>VLOOKUP($A121,'Pre-Assessment Estimator'!$A$10:$Z$225,F$2,FALSE)</f>
        <v>2</v>
      </c>
      <c r="G121" s="580" t="str">
        <f>IF(VLOOKUP($A121,'Pre-Assessment Estimator'!$A$10:$Z$225,G$2,FALSE)=0,"",VLOOKUP($A121,'Pre-Assessment Estimator'!$A$10:$Z$225,G$2,FALSE))</f>
        <v/>
      </c>
      <c r="H121" s="1222">
        <f>VLOOKUP($A121,'Pre-Assessment Estimator'!$A$10:$Z$225,H$2,FALSE)</f>
        <v>0</v>
      </c>
      <c r="I121" s="576" t="str">
        <f>VLOOKUP($A121,'Pre-Assessment Estimator'!$A$10:$Z$225,I$2,FALSE)</f>
        <v>N/A</v>
      </c>
      <c r="J121" s="577" t="str">
        <f>IF(VLOOKUP($A121,'Pre-Assessment Estimator'!$A$10:$Z$225,J$2,FALSE)=0,"",VLOOKUP($A121,'Pre-Assessment Estimator'!$A$10:$Z$225,J$2,FALSE))</f>
        <v/>
      </c>
      <c r="K121" s="577" t="str">
        <f>IF(VLOOKUP($A121,'Pre-Assessment Estimator'!$A$10:$Z$225,K$2,FALSE)=0,"",VLOOKUP($A121,'Pre-Assessment Estimator'!$A$10:$Z$225,K$2,FALSE))</f>
        <v/>
      </c>
      <c r="L121" s="578" t="str">
        <f>IF(VLOOKUP($A121,'Pre-Assessment Estimator'!$A$10:$Z$225,L$2,FALSE)=0,"",VLOOKUP($A121,'Pre-Assessment Estimator'!$A$10:$Z$225,L$2,FALSE))</f>
        <v/>
      </c>
      <c r="M121" s="579"/>
      <c r="N121" s="580" t="str">
        <f>IF(VLOOKUP($A121,'Pre-Assessment Estimator'!$A$10:$Z$225,N$2,FALSE)=0,"",VLOOKUP($A121,'Pre-Assessment Estimator'!$A$10:$Z$225,N$2,FALSE))</f>
        <v/>
      </c>
      <c r="O121" s="575">
        <f>VLOOKUP($A121,'Pre-Assessment Estimator'!$A$10:$Z$225,O$2,FALSE)</f>
        <v>0</v>
      </c>
      <c r="P121" s="574" t="str">
        <f>VLOOKUP($A121,'Pre-Assessment Estimator'!$A$10:$Z$225,P$2,FALSE)</f>
        <v>N/A</v>
      </c>
      <c r="Q121" s="577" t="str">
        <f>IF(VLOOKUP($A121,'Pre-Assessment Estimator'!$A$10:$Z$225,Q$2,FALSE)=0,"",VLOOKUP($A121,'Pre-Assessment Estimator'!$A$10:$Z$225,Q$2,FALSE))</f>
        <v/>
      </c>
      <c r="R121" s="577" t="str">
        <f>IF(VLOOKUP($A121,'Pre-Assessment Estimator'!$A$10:$Z$225,R$2,FALSE)=0,"",VLOOKUP($A121,'Pre-Assessment Estimator'!$A$10:$Z$225,R$2,FALSE))</f>
        <v/>
      </c>
      <c r="S121" s="578" t="str">
        <f>IF(VLOOKUP($A121,'Pre-Assessment Estimator'!$A$10:$Z$225,S$2,FALSE)=0,"",VLOOKUP($A121,'Pre-Assessment Estimator'!$A$10:$Z$225,S$2,FALSE))</f>
        <v/>
      </c>
      <c r="T121" s="581"/>
      <c r="U121" s="580" t="str">
        <f>IF(VLOOKUP($A121,'Pre-Assessment Estimator'!$A$10:$Z$225,U$2,FALSE)=0,"",VLOOKUP($A121,'Pre-Assessment Estimator'!$A$10:$Z$225,U$2,FALSE))</f>
        <v/>
      </c>
      <c r="V121" s="575">
        <f>VLOOKUP($A121,'Pre-Assessment Estimator'!$A$10:$Z$225,V$2,FALSE)</f>
        <v>0</v>
      </c>
      <c r="W121" s="574" t="str">
        <f>VLOOKUP($A121,'Pre-Assessment Estimator'!$A$10:$Z$225,W$2,FALSE)</f>
        <v>N/A</v>
      </c>
      <c r="X121" s="577" t="str">
        <f>IF(VLOOKUP($A121,'Pre-Assessment Estimator'!$A$10:$Z$225,X$2,FALSE)=0,"",VLOOKUP($A121,'Pre-Assessment Estimator'!$A$10:$Z$225,X$2,FALSE))</f>
        <v/>
      </c>
      <c r="Y121" s="577" t="str">
        <f>IF(VLOOKUP($A121,'Pre-Assessment Estimator'!$A$10:$Z$225,Y$2,FALSE)=0,"",VLOOKUP($A121,'Pre-Assessment Estimator'!$A$10:$Z$225,Y$2,FALSE))</f>
        <v/>
      </c>
      <c r="Z121" s="370" t="str">
        <f>IF(VLOOKUP($A121,'Pre-Assessment Estimator'!$A$10:$Z$225,Z$2,FALSE)=0,"",VLOOKUP($A121,'Pre-Assessment Estimator'!$A$10:$Z$225,Z$2,FALSE))</f>
        <v/>
      </c>
      <c r="AA121" s="696">
        <v>111</v>
      </c>
      <c r="AB121" s="577"/>
      <c r="AF121" s="386">
        <f t="shared" si="2"/>
        <v>1</v>
      </c>
    </row>
    <row r="122" spans="1:32" ht="30" x14ac:dyDescent="0.25">
      <c r="A122" s="823">
        <v>113</v>
      </c>
      <c r="B122" s="1236" t="s">
        <v>69</v>
      </c>
      <c r="C122" s="1236"/>
      <c r="D122" s="1258" t="str">
        <f>VLOOKUP($A122,'Pre-Assessment Estimator'!$A$10:$Z$225,D$2,FALSE)</f>
        <v>Mat 02</v>
      </c>
      <c r="E122" s="1258" t="str">
        <f>VLOOKUP($A122,'Pre-Assessment Estimator'!$A$10:$Z$225,E$2,FALSE)</f>
        <v>Mat 02 Environmental impacts from construction products - product requirements</v>
      </c>
      <c r="F122" s="574">
        <f>VLOOKUP($A122,'Pre-Assessment Estimator'!$A$10:$Z$225,F$2,FALSE)</f>
        <v>3</v>
      </c>
      <c r="G122" s="580" t="str">
        <f>IF(VLOOKUP($A122,'Pre-Assessment Estimator'!$A$10:$Z$225,G$2,FALSE)=0,"",VLOOKUP($A122,'Pre-Assessment Estimator'!$A$10:$Z$225,G$2,FALSE))</f>
        <v/>
      </c>
      <c r="H122" s="1222" t="str">
        <f>VLOOKUP($A122,'Pre-Assessment Estimator'!$A$10:$Z$225,H$2,FALSE)</f>
        <v>0 c. 0 %</v>
      </c>
      <c r="I122" s="576" t="str">
        <f>VLOOKUP($A122,'Pre-Assessment Estimator'!$A$10:$Z$225,I$2,FALSE)</f>
        <v>N/A</v>
      </c>
      <c r="J122" s="577" t="str">
        <f>IF(VLOOKUP($A122,'Pre-Assessment Estimator'!$A$10:$Z$225,J$2,FALSE)=0,"",VLOOKUP($A122,'Pre-Assessment Estimator'!$A$10:$Z$225,J$2,FALSE))</f>
        <v/>
      </c>
      <c r="K122" s="577" t="str">
        <f>IF(VLOOKUP($A122,'Pre-Assessment Estimator'!$A$10:$Z$225,K$2,FALSE)=0,"",VLOOKUP($A122,'Pre-Assessment Estimator'!$A$10:$Z$225,K$2,FALSE))</f>
        <v/>
      </c>
      <c r="L122" s="578" t="str">
        <f>IF(VLOOKUP($A122,'Pre-Assessment Estimator'!$A$10:$Z$225,L$2,FALSE)=0,"",VLOOKUP($A122,'Pre-Assessment Estimator'!$A$10:$Z$225,L$2,FALSE))</f>
        <v/>
      </c>
      <c r="M122" s="579"/>
      <c r="N122" s="580" t="str">
        <f>IF(VLOOKUP($A122,'Pre-Assessment Estimator'!$A$10:$Z$225,N$2,FALSE)=0,"",VLOOKUP($A122,'Pre-Assessment Estimator'!$A$10:$Z$225,N$2,FALSE))</f>
        <v/>
      </c>
      <c r="O122" s="575" t="str">
        <f>VLOOKUP($A122,'Pre-Assessment Estimator'!$A$10:$Z$225,O$2,FALSE)</f>
        <v>0 c. 0 %</v>
      </c>
      <c r="P122" s="574" t="str">
        <f>VLOOKUP($A122,'Pre-Assessment Estimator'!$A$10:$Z$225,P$2,FALSE)</f>
        <v>N/A</v>
      </c>
      <c r="Q122" s="577" t="str">
        <f>IF(VLOOKUP($A122,'Pre-Assessment Estimator'!$A$10:$Z$225,Q$2,FALSE)=0,"",VLOOKUP($A122,'Pre-Assessment Estimator'!$A$10:$Z$225,Q$2,FALSE))</f>
        <v/>
      </c>
      <c r="R122" s="577" t="str">
        <f>IF(VLOOKUP($A122,'Pre-Assessment Estimator'!$A$10:$Z$225,R$2,FALSE)=0,"",VLOOKUP($A122,'Pre-Assessment Estimator'!$A$10:$Z$225,R$2,FALSE))</f>
        <v/>
      </c>
      <c r="S122" s="578" t="str">
        <f>IF(VLOOKUP($A122,'Pre-Assessment Estimator'!$A$10:$Z$225,S$2,FALSE)=0,"",VLOOKUP($A122,'Pre-Assessment Estimator'!$A$10:$Z$225,S$2,FALSE))</f>
        <v/>
      </c>
      <c r="T122" s="581"/>
      <c r="U122" s="580" t="str">
        <f>IF(VLOOKUP($A122,'Pre-Assessment Estimator'!$A$10:$Z$225,U$2,FALSE)=0,"",VLOOKUP($A122,'Pre-Assessment Estimator'!$A$10:$Z$225,U$2,FALSE))</f>
        <v/>
      </c>
      <c r="V122" s="575" t="str">
        <f>VLOOKUP($A122,'Pre-Assessment Estimator'!$A$10:$Z$225,V$2,FALSE)</f>
        <v>0 c. 0 %</v>
      </c>
      <c r="W122" s="574" t="str">
        <f>VLOOKUP($A122,'Pre-Assessment Estimator'!$A$10:$Z$225,W$2,FALSE)</f>
        <v>N/A</v>
      </c>
      <c r="X122" s="577" t="str">
        <f>IF(VLOOKUP($A122,'Pre-Assessment Estimator'!$A$10:$Z$225,X$2,FALSE)=0,"",VLOOKUP($A122,'Pre-Assessment Estimator'!$A$10:$Z$225,X$2,FALSE))</f>
        <v/>
      </c>
      <c r="Y122" s="577" t="str">
        <f>IF(VLOOKUP($A122,'Pre-Assessment Estimator'!$A$10:$Z$225,Y$2,FALSE)=0,"",VLOOKUP($A122,'Pre-Assessment Estimator'!$A$10:$Z$225,Y$2,FALSE))</f>
        <v/>
      </c>
      <c r="Z122" s="370" t="str">
        <f>IF(VLOOKUP($A122,'Pre-Assessment Estimator'!$A$10:$Z$225,Z$2,FALSE)=0,"",VLOOKUP($A122,'Pre-Assessment Estimator'!$A$10:$Z$225,Z$2,FALSE))</f>
        <v/>
      </c>
      <c r="AA122" s="696">
        <v>112</v>
      </c>
      <c r="AB122" s="577"/>
      <c r="AF122" s="386">
        <f t="shared" si="2"/>
        <v>1</v>
      </c>
    </row>
    <row r="123" spans="1:32" ht="30" x14ac:dyDescent="0.25">
      <c r="A123" s="823">
        <v>114</v>
      </c>
      <c r="B123" s="1236" t="s">
        <v>69</v>
      </c>
      <c r="C123" s="1236"/>
      <c r="D123" s="1259" t="str">
        <f>VLOOKUP($A123,'Pre-Assessment Estimator'!$A$10:$Z$225,D$2,FALSE)</f>
        <v>Mat 02</v>
      </c>
      <c r="E123" s="1260" t="str">
        <f>VLOOKUP($A123,'Pre-Assessment Estimator'!$A$10:$Z$225,E$2,FALSE)</f>
        <v>Minimum req: absence of environmental toxins (EU taxonomy requirement: criterion 1)</v>
      </c>
      <c r="F123" s="574" t="str">
        <f>VLOOKUP($A123,'Pre-Assessment Estimator'!$A$10:$Z$225,F$2,FALSE)</f>
        <v>Yes/No</v>
      </c>
      <c r="G123" s="580" t="str">
        <f>IF(VLOOKUP($A123,'Pre-Assessment Estimator'!$A$10:$Z$225,G$2,FALSE)=0,"",VLOOKUP($A123,'Pre-Assessment Estimator'!$A$10:$Z$225,G$2,FALSE))</f>
        <v/>
      </c>
      <c r="H123" s="1222" t="str">
        <f>VLOOKUP($A123,'Pre-Assessment Estimator'!$A$10:$Z$225,H$2,FALSE)</f>
        <v>-</v>
      </c>
      <c r="I123" s="576" t="str">
        <f>VLOOKUP($A123,'Pre-Assessment Estimator'!$A$10:$Z$225,I$2,FALSE)</f>
        <v>Unclassified</v>
      </c>
      <c r="J123" s="577" t="str">
        <f>IF(VLOOKUP($A123,'Pre-Assessment Estimator'!$A$10:$Z$225,J$2,FALSE)=0,"",VLOOKUP($A123,'Pre-Assessment Estimator'!$A$10:$Z$225,J$2,FALSE))</f>
        <v/>
      </c>
      <c r="K123" s="577" t="str">
        <f>IF(VLOOKUP($A123,'Pre-Assessment Estimator'!$A$10:$Z$225,K$2,FALSE)=0,"",VLOOKUP($A123,'Pre-Assessment Estimator'!$A$10:$Z$225,K$2,FALSE))</f>
        <v/>
      </c>
      <c r="L123" s="578" t="str">
        <f>IF(VLOOKUP($A123,'Pre-Assessment Estimator'!$A$10:$Z$225,L$2,FALSE)=0,"",VLOOKUP($A123,'Pre-Assessment Estimator'!$A$10:$Z$225,L$2,FALSE))</f>
        <v/>
      </c>
      <c r="M123" s="579"/>
      <c r="N123" s="580" t="str">
        <f>IF(VLOOKUP($A123,'Pre-Assessment Estimator'!$A$10:$Z$225,N$2,FALSE)=0,"",VLOOKUP($A123,'Pre-Assessment Estimator'!$A$10:$Z$225,N$2,FALSE))</f>
        <v/>
      </c>
      <c r="O123" s="575" t="str">
        <f>VLOOKUP($A123,'Pre-Assessment Estimator'!$A$10:$Z$225,O$2,FALSE)</f>
        <v>-</v>
      </c>
      <c r="P123" s="574" t="str">
        <f>VLOOKUP($A123,'Pre-Assessment Estimator'!$A$10:$Z$225,P$2,FALSE)</f>
        <v>Unclassified</v>
      </c>
      <c r="Q123" s="577" t="str">
        <f>IF(VLOOKUP($A123,'Pre-Assessment Estimator'!$A$10:$Z$225,Q$2,FALSE)=0,"",VLOOKUP($A123,'Pre-Assessment Estimator'!$A$10:$Z$225,Q$2,FALSE))</f>
        <v/>
      </c>
      <c r="R123" s="577" t="str">
        <f>IF(VLOOKUP($A123,'Pre-Assessment Estimator'!$A$10:$Z$225,R$2,FALSE)=0,"",VLOOKUP($A123,'Pre-Assessment Estimator'!$A$10:$Z$225,R$2,FALSE))</f>
        <v/>
      </c>
      <c r="S123" s="578" t="str">
        <f>IF(VLOOKUP($A123,'Pre-Assessment Estimator'!$A$10:$Z$225,S$2,FALSE)=0,"",VLOOKUP($A123,'Pre-Assessment Estimator'!$A$10:$Z$225,S$2,FALSE))</f>
        <v/>
      </c>
      <c r="T123" s="581"/>
      <c r="U123" s="580" t="str">
        <f>IF(VLOOKUP($A123,'Pre-Assessment Estimator'!$A$10:$Z$225,U$2,FALSE)=0,"",VLOOKUP($A123,'Pre-Assessment Estimator'!$A$10:$Z$225,U$2,FALSE))</f>
        <v/>
      </c>
      <c r="V123" s="575" t="str">
        <f>VLOOKUP($A123,'Pre-Assessment Estimator'!$A$10:$Z$225,V$2,FALSE)</f>
        <v>-</v>
      </c>
      <c r="W123" s="574" t="str">
        <f>VLOOKUP($A123,'Pre-Assessment Estimator'!$A$10:$Z$225,W$2,FALSE)</f>
        <v>Unclassified</v>
      </c>
      <c r="X123" s="577" t="str">
        <f>IF(VLOOKUP($A123,'Pre-Assessment Estimator'!$A$10:$Z$225,X$2,FALSE)=0,"",VLOOKUP($A123,'Pre-Assessment Estimator'!$A$10:$Z$225,X$2,FALSE))</f>
        <v/>
      </c>
      <c r="Y123" s="577" t="str">
        <f>IF(VLOOKUP($A123,'Pre-Assessment Estimator'!$A$10:$Z$225,Y$2,FALSE)=0,"",VLOOKUP($A123,'Pre-Assessment Estimator'!$A$10:$Z$225,Y$2,FALSE))</f>
        <v/>
      </c>
      <c r="Z123" s="370" t="str">
        <f>IF(VLOOKUP($A123,'Pre-Assessment Estimator'!$A$10:$Z$225,Z$2,FALSE)=0,"",VLOOKUP($A123,'Pre-Assessment Estimator'!$A$10:$Z$225,Z$2,FALSE))</f>
        <v/>
      </c>
      <c r="AA123" s="696">
        <v>113</v>
      </c>
      <c r="AB123" s="577"/>
      <c r="AF123" s="386">
        <f t="shared" si="2"/>
        <v>1</v>
      </c>
    </row>
    <row r="124" spans="1:32" x14ac:dyDescent="0.25">
      <c r="A124" s="823">
        <v>115</v>
      </c>
      <c r="B124" s="1236" t="s">
        <v>69</v>
      </c>
      <c r="C124" s="1236"/>
      <c r="D124" s="1259" t="str">
        <f>VLOOKUP($A124,'Pre-Assessment Estimator'!$A$10:$Z$225,D$2,FALSE)</f>
        <v>Mat 02</v>
      </c>
      <c r="E124" s="1260" t="str">
        <f>VLOOKUP($A124,'Pre-Assessment Estimator'!$A$10:$Z$225,E$2,FALSE)</f>
        <v xml:space="preserve">EPD for construction products </v>
      </c>
      <c r="F124" s="574">
        <f>VLOOKUP($A124,'Pre-Assessment Estimator'!$A$10:$Z$225,F$2,FALSE)</f>
        <v>1</v>
      </c>
      <c r="G124" s="580" t="str">
        <f>IF(VLOOKUP($A124,'Pre-Assessment Estimator'!$A$10:$Z$225,G$2,FALSE)=0,"",VLOOKUP($A124,'Pre-Assessment Estimator'!$A$10:$Z$225,G$2,FALSE))</f>
        <v/>
      </c>
      <c r="H124" s="1222">
        <f>VLOOKUP($A124,'Pre-Assessment Estimator'!$A$10:$Z$225,H$2,FALSE)</f>
        <v>0</v>
      </c>
      <c r="I124" s="576" t="str">
        <f>VLOOKUP($A124,'Pre-Assessment Estimator'!$A$10:$Z$225,I$2,FALSE)</f>
        <v>N/A</v>
      </c>
      <c r="J124" s="577" t="str">
        <f>IF(VLOOKUP($A124,'Pre-Assessment Estimator'!$A$10:$Z$225,J$2,FALSE)=0,"",VLOOKUP($A124,'Pre-Assessment Estimator'!$A$10:$Z$225,J$2,FALSE))</f>
        <v/>
      </c>
      <c r="K124" s="577" t="str">
        <f>IF(VLOOKUP($A124,'Pre-Assessment Estimator'!$A$10:$Z$225,K$2,FALSE)=0,"",VLOOKUP($A124,'Pre-Assessment Estimator'!$A$10:$Z$225,K$2,FALSE))</f>
        <v/>
      </c>
      <c r="L124" s="578" t="str">
        <f>IF(VLOOKUP($A124,'Pre-Assessment Estimator'!$A$10:$Z$225,L$2,FALSE)=0,"",VLOOKUP($A124,'Pre-Assessment Estimator'!$A$10:$Z$225,L$2,FALSE))</f>
        <v/>
      </c>
      <c r="M124" s="579"/>
      <c r="N124" s="580" t="str">
        <f>IF(VLOOKUP($A124,'Pre-Assessment Estimator'!$A$10:$Z$225,N$2,FALSE)=0,"",VLOOKUP($A124,'Pre-Assessment Estimator'!$A$10:$Z$225,N$2,FALSE))</f>
        <v/>
      </c>
      <c r="O124" s="575">
        <f>VLOOKUP($A124,'Pre-Assessment Estimator'!$A$10:$Z$225,O$2,FALSE)</f>
        <v>0</v>
      </c>
      <c r="P124" s="574" t="str">
        <f>VLOOKUP($A124,'Pre-Assessment Estimator'!$A$10:$Z$225,P$2,FALSE)</f>
        <v>N/A</v>
      </c>
      <c r="Q124" s="577" t="str">
        <f>IF(VLOOKUP($A124,'Pre-Assessment Estimator'!$A$10:$Z$225,Q$2,FALSE)=0,"",VLOOKUP($A124,'Pre-Assessment Estimator'!$A$10:$Z$225,Q$2,FALSE))</f>
        <v/>
      </c>
      <c r="R124" s="577" t="str">
        <f>IF(VLOOKUP($A124,'Pre-Assessment Estimator'!$A$10:$Z$225,R$2,FALSE)=0,"",VLOOKUP($A124,'Pre-Assessment Estimator'!$A$10:$Z$225,R$2,FALSE))</f>
        <v/>
      </c>
      <c r="S124" s="578" t="str">
        <f>IF(VLOOKUP($A124,'Pre-Assessment Estimator'!$A$10:$Z$225,S$2,FALSE)=0,"",VLOOKUP($A124,'Pre-Assessment Estimator'!$A$10:$Z$225,S$2,FALSE))</f>
        <v/>
      </c>
      <c r="T124" s="581"/>
      <c r="U124" s="580" t="str">
        <f>IF(VLOOKUP($A124,'Pre-Assessment Estimator'!$A$10:$Z$225,U$2,FALSE)=0,"",VLOOKUP($A124,'Pre-Assessment Estimator'!$A$10:$Z$225,U$2,FALSE))</f>
        <v/>
      </c>
      <c r="V124" s="575">
        <f>VLOOKUP($A124,'Pre-Assessment Estimator'!$A$10:$Z$225,V$2,FALSE)</f>
        <v>0</v>
      </c>
      <c r="W124" s="574" t="str">
        <f>VLOOKUP($A124,'Pre-Assessment Estimator'!$A$10:$Z$225,W$2,FALSE)</f>
        <v>N/A</v>
      </c>
      <c r="X124" s="577" t="str">
        <f>IF(VLOOKUP($A124,'Pre-Assessment Estimator'!$A$10:$Z$225,X$2,FALSE)=0,"",VLOOKUP($A124,'Pre-Assessment Estimator'!$A$10:$Z$225,X$2,FALSE))</f>
        <v/>
      </c>
      <c r="Y124" s="577" t="str">
        <f>IF(VLOOKUP($A124,'Pre-Assessment Estimator'!$A$10:$Z$225,Y$2,FALSE)=0,"",VLOOKUP($A124,'Pre-Assessment Estimator'!$A$10:$Z$225,Y$2,FALSE))</f>
        <v/>
      </c>
      <c r="Z124" s="370" t="str">
        <f>IF(VLOOKUP($A124,'Pre-Assessment Estimator'!$A$10:$Z$225,Z$2,FALSE)=0,"",VLOOKUP($A124,'Pre-Assessment Estimator'!$A$10:$Z$225,Z$2,FALSE))</f>
        <v/>
      </c>
      <c r="AA124" s="696">
        <v>114</v>
      </c>
      <c r="AB124" s="577"/>
      <c r="AF124" s="386">
        <f t="shared" si="2"/>
        <v>1</v>
      </c>
    </row>
    <row r="125" spans="1:32" x14ac:dyDescent="0.25">
      <c r="A125" s="823">
        <v>116</v>
      </c>
      <c r="B125" s="1236" t="s">
        <v>69</v>
      </c>
      <c r="C125" s="1236"/>
      <c r="D125" s="1259" t="str">
        <f>VLOOKUP($A125,'Pre-Assessment Estimator'!$A$10:$Z$225,D$2,FALSE)</f>
        <v>Mat 02</v>
      </c>
      <c r="E125" s="1260" t="str">
        <f>VLOOKUP($A125,'Pre-Assessment Estimator'!$A$10:$Z$225,E$2,FALSE)</f>
        <v xml:space="preserve">Performance requirements for construction products </v>
      </c>
      <c r="F125" s="574">
        <f>VLOOKUP($A125,'Pre-Assessment Estimator'!$A$10:$Z$225,F$2,FALSE)</f>
        <v>2</v>
      </c>
      <c r="G125" s="580" t="str">
        <f>IF(VLOOKUP($A125,'Pre-Assessment Estimator'!$A$10:$Z$225,G$2,FALSE)=0,"",VLOOKUP($A125,'Pre-Assessment Estimator'!$A$10:$Z$225,G$2,FALSE))</f>
        <v/>
      </c>
      <c r="H125" s="1222">
        <f>VLOOKUP($A125,'Pre-Assessment Estimator'!$A$10:$Z$225,H$2,FALSE)</f>
        <v>0</v>
      </c>
      <c r="I125" s="576" t="str">
        <f>VLOOKUP($A125,'Pre-Assessment Estimator'!$A$10:$Z$225,I$2,FALSE)</f>
        <v>N/A</v>
      </c>
      <c r="J125" s="577" t="str">
        <f>IF(VLOOKUP($A125,'Pre-Assessment Estimator'!$A$10:$Z$225,J$2,FALSE)=0,"",VLOOKUP($A125,'Pre-Assessment Estimator'!$A$10:$Z$225,J$2,FALSE))</f>
        <v/>
      </c>
      <c r="K125" s="577" t="str">
        <f>IF(VLOOKUP($A125,'Pre-Assessment Estimator'!$A$10:$Z$225,K$2,FALSE)=0,"",VLOOKUP($A125,'Pre-Assessment Estimator'!$A$10:$Z$225,K$2,FALSE))</f>
        <v/>
      </c>
      <c r="L125" s="578" t="str">
        <f>IF(VLOOKUP($A125,'Pre-Assessment Estimator'!$A$10:$Z$225,L$2,FALSE)=0,"",VLOOKUP($A125,'Pre-Assessment Estimator'!$A$10:$Z$225,L$2,FALSE))</f>
        <v/>
      </c>
      <c r="M125" s="579"/>
      <c r="N125" s="580" t="str">
        <f>IF(VLOOKUP($A125,'Pre-Assessment Estimator'!$A$10:$Z$225,N$2,FALSE)=0,"",VLOOKUP($A125,'Pre-Assessment Estimator'!$A$10:$Z$225,N$2,FALSE))</f>
        <v/>
      </c>
      <c r="O125" s="575">
        <f>VLOOKUP($A125,'Pre-Assessment Estimator'!$A$10:$Z$225,O$2,FALSE)</f>
        <v>0</v>
      </c>
      <c r="P125" s="574" t="str">
        <f>VLOOKUP($A125,'Pre-Assessment Estimator'!$A$10:$Z$225,P$2,FALSE)</f>
        <v>N/A</v>
      </c>
      <c r="Q125" s="577" t="str">
        <f>IF(VLOOKUP($A125,'Pre-Assessment Estimator'!$A$10:$Z$225,Q$2,FALSE)=0,"",VLOOKUP($A125,'Pre-Assessment Estimator'!$A$10:$Z$225,Q$2,FALSE))</f>
        <v/>
      </c>
      <c r="R125" s="577" t="str">
        <f>IF(VLOOKUP($A125,'Pre-Assessment Estimator'!$A$10:$Z$225,R$2,FALSE)=0,"",VLOOKUP($A125,'Pre-Assessment Estimator'!$A$10:$Z$225,R$2,FALSE))</f>
        <v/>
      </c>
      <c r="S125" s="578" t="str">
        <f>IF(VLOOKUP($A125,'Pre-Assessment Estimator'!$A$10:$Z$225,S$2,FALSE)=0,"",VLOOKUP($A125,'Pre-Assessment Estimator'!$A$10:$Z$225,S$2,FALSE))</f>
        <v/>
      </c>
      <c r="T125" s="581"/>
      <c r="U125" s="580" t="str">
        <f>IF(VLOOKUP($A125,'Pre-Assessment Estimator'!$A$10:$Z$225,U$2,FALSE)=0,"",VLOOKUP($A125,'Pre-Assessment Estimator'!$A$10:$Z$225,U$2,FALSE))</f>
        <v/>
      </c>
      <c r="V125" s="575">
        <f>VLOOKUP($A125,'Pre-Assessment Estimator'!$A$10:$Z$225,V$2,FALSE)</f>
        <v>0</v>
      </c>
      <c r="W125" s="574" t="str">
        <f>VLOOKUP($A125,'Pre-Assessment Estimator'!$A$10:$Z$225,W$2,FALSE)</f>
        <v>N/A</v>
      </c>
      <c r="X125" s="577" t="str">
        <f>IF(VLOOKUP($A125,'Pre-Assessment Estimator'!$A$10:$Z$225,X$2,FALSE)=0,"",VLOOKUP($A125,'Pre-Assessment Estimator'!$A$10:$Z$225,X$2,FALSE))</f>
        <v/>
      </c>
      <c r="Y125" s="577" t="str">
        <f>IF(VLOOKUP($A125,'Pre-Assessment Estimator'!$A$10:$Z$225,Y$2,FALSE)=0,"",VLOOKUP($A125,'Pre-Assessment Estimator'!$A$10:$Z$225,Y$2,FALSE))</f>
        <v/>
      </c>
      <c r="Z125" s="370" t="str">
        <f>IF(VLOOKUP($A125,'Pre-Assessment Estimator'!$A$10:$Z$225,Z$2,FALSE)=0,"",VLOOKUP($A125,'Pre-Assessment Estimator'!$A$10:$Z$225,Z$2,FALSE))</f>
        <v/>
      </c>
      <c r="AA125" s="696">
        <v>115</v>
      </c>
      <c r="AB125" s="577"/>
      <c r="AF125" s="386">
        <f t="shared" si="2"/>
        <v>1</v>
      </c>
    </row>
    <row r="126" spans="1:32" x14ac:dyDescent="0.25">
      <c r="A126" s="823">
        <v>117</v>
      </c>
      <c r="B126" s="1236" t="s">
        <v>69</v>
      </c>
      <c r="C126" s="1236"/>
      <c r="D126" s="1258" t="str">
        <f>VLOOKUP($A126,'Pre-Assessment Estimator'!$A$10:$Z$225,D$2,FALSE)</f>
        <v>Mat 03</v>
      </c>
      <c r="E126" s="1258" t="str">
        <f>VLOOKUP($A126,'Pre-Assessment Estimator'!$A$10:$Z$225,E$2,FALSE)</f>
        <v>Mat 03 Responsible sourcing of construction products</v>
      </c>
      <c r="F126" s="574">
        <f>VLOOKUP($A126,'Pre-Assessment Estimator'!$A$10:$Z$225,F$2,FALSE)</f>
        <v>3</v>
      </c>
      <c r="G126" s="580" t="str">
        <f>IF(VLOOKUP($A126,'Pre-Assessment Estimator'!$A$10:$Z$225,G$2,FALSE)=0,"",VLOOKUP($A126,'Pre-Assessment Estimator'!$A$10:$Z$225,G$2,FALSE))</f>
        <v/>
      </c>
      <c r="H126" s="1222" t="str">
        <f>VLOOKUP($A126,'Pre-Assessment Estimator'!$A$10:$Z$225,H$2,FALSE)</f>
        <v>0 c. 0 %</v>
      </c>
      <c r="I126" s="576" t="str">
        <f>VLOOKUP($A126,'Pre-Assessment Estimator'!$A$10:$Z$225,I$2,FALSE)</f>
        <v>N/A</v>
      </c>
      <c r="J126" s="577" t="str">
        <f>IF(VLOOKUP($A126,'Pre-Assessment Estimator'!$A$10:$Z$225,J$2,FALSE)=0,"",VLOOKUP($A126,'Pre-Assessment Estimator'!$A$10:$Z$225,J$2,FALSE))</f>
        <v/>
      </c>
      <c r="K126" s="577" t="str">
        <f>IF(VLOOKUP($A126,'Pre-Assessment Estimator'!$A$10:$Z$225,K$2,FALSE)=0,"",VLOOKUP($A126,'Pre-Assessment Estimator'!$A$10:$Z$225,K$2,FALSE))</f>
        <v/>
      </c>
      <c r="L126" s="578" t="str">
        <f>IF(VLOOKUP($A126,'Pre-Assessment Estimator'!$A$10:$Z$225,L$2,FALSE)=0,"",VLOOKUP($A126,'Pre-Assessment Estimator'!$A$10:$Z$225,L$2,FALSE))</f>
        <v/>
      </c>
      <c r="M126" s="579"/>
      <c r="N126" s="580" t="str">
        <f>IF(VLOOKUP($A126,'Pre-Assessment Estimator'!$A$10:$Z$225,N$2,FALSE)=0,"",VLOOKUP($A126,'Pre-Assessment Estimator'!$A$10:$Z$225,N$2,FALSE))</f>
        <v/>
      </c>
      <c r="O126" s="575" t="str">
        <f>VLOOKUP($A126,'Pre-Assessment Estimator'!$A$10:$Z$225,O$2,FALSE)</f>
        <v>0 c. 0 %</v>
      </c>
      <c r="P126" s="574" t="str">
        <f>VLOOKUP($A126,'Pre-Assessment Estimator'!$A$10:$Z$225,P$2,FALSE)</f>
        <v>N/A</v>
      </c>
      <c r="Q126" s="577" t="str">
        <f>IF(VLOOKUP($A126,'Pre-Assessment Estimator'!$A$10:$Z$225,Q$2,FALSE)=0,"",VLOOKUP($A126,'Pre-Assessment Estimator'!$A$10:$Z$225,Q$2,FALSE))</f>
        <v/>
      </c>
      <c r="R126" s="577" t="str">
        <f>IF(VLOOKUP($A126,'Pre-Assessment Estimator'!$A$10:$Z$225,R$2,FALSE)=0,"",VLOOKUP($A126,'Pre-Assessment Estimator'!$A$10:$Z$225,R$2,FALSE))</f>
        <v/>
      </c>
      <c r="S126" s="578" t="str">
        <f>IF(VLOOKUP($A126,'Pre-Assessment Estimator'!$A$10:$Z$225,S$2,FALSE)=0,"",VLOOKUP($A126,'Pre-Assessment Estimator'!$A$10:$Z$225,S$2,FALSE))</f>
        <v/>
      </c>
      <c r="T126" s="581"/>
      <c r="U126" s="580" t="str">
        <f>IF(VLOOKUP($A126,'Pre-Assessment Estimator'!$A$10:$Z$225,U$2,FALSE)=0,"",VLOOKUP($A126,'Pre-Assessment Estimator'!$A$10:$Z$225,U$2,FALSE))</f>
        <v/>
      </c>
      <c r="V126" s="575" t="str">
        <f>VLOOKUP($A126,'Pre-Assessment Estimator'!$A$10:$Z$225,V$2,FALSE)</f>
        <v>0 c. 0 %</v>
      </c>
      <c r="W126" s="574" t="str">
        <f>VLOOKUP($A126,'Pre-Assessment Estimator'!$A$10:$Z$225,W$2,FALSE)</f>
        <v>N/A</v>
      </c>
      <c r="X126" s="577" t="str">
        <f>IF(VLOOKUP($A126,'Pre-Assessment Estimator'!$A$10:$Z$225,X$2,FALSE)=0,"",VLOOKUP($A126,'Pre-Assessment Estimator'!$A$10:$Z$225,X$2,FALSE))</f>
        <v/>
      </c>
      <c r="Y126" s="577" t="str">
        <f>IF(VLOOKUP($A126,'Pre-Assessment Estimator'!$A$10:$Z$225,Y$2,FALSE)=0,"",VLOOKUP($A126,'Pre-Assessment Estimator'!$A$10:$Z$225,Y$2,FALSE))</f>
        <v/>
      </c>
      <c r="Z126" s="370" t="str">
        <f>IF(VLOOKUP($A126,'Pre-Assessment Estimator'!$A$10:$Z$225,Z$2,FALSE)=0,"",VLOOKUP($A126,'Pre-Assessment Estimator'!$A$10:$Z$225,Z$2,FALSE))</f>
        <v/>
      </c>
      <c r="AA126" s="696">
        <v>116</v>
      </c>
      <c r="AB126" s="577"/>
      <c r="AF126" s="386">
        <f t="shared" si="2"/>
        <v>1</v>
      </c>
    </row>
    <row r="127" spans="1:32" x14ac:dyDescent="0.25">
      <c r="A127" s="823">
        <v>118</v>
      </c>
      <c r="B127" s="1236" t="s">
        <v>69</v>
      </c>
      <c r="C127" s="1236"/>
      <c r="D127" s="1259" t="str">
        <f>VLOOKUP($A127,'Pre-Assessment Estimator'!$A$10:$Z$225,D$2,FALSE)</f>
        <v>Mat 03</v>
      </c>
      <c r="E127" s="1260" t="str">
        <f>VLOOKUP($A127,'Pre-Assessment Estimator'!$A$10:$Z$225,E$2,FALSE)</f>
        <v>Minimum req: legal and sustainable timber</v>
      </c>
      <c r="F127" s="574" t="str">
        <f>VLOOKUP($A127,'Pre-Assessment Estimator'!$A$10:$Z$225,F$2,FALSE)</f>
        <v>Yes/No</v>
      </c>
      <c r="G127" s="580" t="str">
        <f>IF(VLOOKUP($A127,'Pre-Assessment Estimator'!$A$10:$Z$225,G$2,FALSE)=0,"",VLOOKUP($A127,'Pre-Assessment Estimator'!$A$10:$Z$225,G$2,FALSE))</f>
        <v/>
      </c>
      <c r="H127" s="1222" t="str">
        <f>VLOOKUP($A127,'Pre-Assessment Estimator'!$A$10:$Z$225,H$2,FALSE)</f>
        <v>-</v>
      </c>
      <c r="I127" s="576" t="str">
        <f>VLOOKUP($A127,'Pre-Assessment Estimator'!$A$10:$Z$225,I$2,FALSE)</f>
        <v>Unclassified</v>
      </c>
      <c r="J127" s="577" t="str">
        <f>IF(VLOOKUP($A127,'Pre-Assessment Estimator'!$A$10:$Z$225,J$2,FALSE)=0,"",VLOOKUP($A127,'Pre-Assessment Estimator'!$A$10:$Z$225,J$2,FALSE))</f>
        <v/>
      </c>
      <c r="K127" s="577" t="str">
        <f>IF(VLOOKUP($A127,'Pre-Assessment Estimator'!$A$10:$Z$225,K$2,FALSE)=0,"",VLOOKUP($A127,'Pre-Assessment Estimator'!$A$10:$Z$225,K$2,FALSE))</f>
        <v/>
      </c>
      <c r="L127" s="578" t="str">
        <f>IF(VLOOKUP($A127,'Pre-Assessment Estimator'!$A$10:$Z$225,L$2,FALSE)=0,"",VLOOKUP($A127,'Pre-Assessment Estimator'!$A$10:$Z$225,L$2,FALSE))</f>
        <v/>
      </c>
      <c r="M127" s="579"/>
      <c r="N127" s="580" t="str">
        <f>IF(VLOOKUP($A127,'Pre-Assessment Estimator'!$A$10:$Z$225,N$2,FALSE)=0,"",VLOOKUP($A127,'Pre-Assessment Estimator'!$A$10:$Z$225,N$2,FALSE))</f>
        <v/>
      </c>
      <c r="O127" s="575" t="str">
        <f>VLOOKUP($A127,'Pre-Assessment Estimator'!$A$10:$Z$225,O$2,FALSE)</f>
        <v>-</v>
      </c>
      <c r="P127" s="574" t="str">
        <f>VLOOKUP($A127,'Pre-Assessment Estimator'!$A$10:$Z$225,P$2,FALSE)</f>
        <v>Unclassified</v>
      </c>
      <c r="Q127" s="577" t="str">
        <f>IF(VLOOKUP($A127,'Pre-Assessment Estimator'!$A$10:$Z$225,Q$2,FALSE)=0,"",VLOOKUP($A127,'Pre-Assessment Estimator'!$A$10:$Z$225,Q$2,FALSE))</f>
        <v/>
      </c>
      <c r="R127" s="577" t="str">
        <f>IF(VLOOKUP($A127,'Pre-Assessment Estimator'!$A$10:$Z$225,R$2,FALSE)=0,"",VLOOKUP($A127,'Pre-Assessment Estimator'!$A$10:$Z$225,R$2,FALSE))</f>
        <v/>
      </c>
      <c r="S127" s="578" t="str">
        <f>IF(VLOOKUP($A127,'Pre-Assessment Estimator'!$A$10:$Z$225,S$2,FALSE)=0,"",VLOOKUP($A127,'Pre-Assessment Estimator'!$A$10:$Z$225,S$2,FALSE))</f>
        <v/>
      </c>
      <c r="T127" s="581"/>
      <c r="U127" s="580" t="str">
        <f>IF(VLOOKUP($A127,'Pre-Assessment Estimator'!$A$10:$Z$225,U$2,FALSE)=0,"",VLOOKUP($A127,'Pre-Assessment Estimator'!$A$10:$Z$225,U$2,FALSE))</f>
        <v/>
      </c>
      <c r="V127" s="575" t="str">
        <f>VLOOKUP($A127,'Pre-Assessment Estimator'!$A$10:$Z$225,V$2,FALSE)</f>
        <v>-</v>
      </c>
      <c r="W127" s="574" t="str">
        <f>VLOOKUP($A127,'Pre-Assessment Estimator'!$A$10:$Z$225,W$2,FALSE)</f>
        <v>Unclassified</v>
      </c>
      <c r="X127" s="577" t="str">
        <f>IF(VLOOKUP($A127,'Pre-Assessment Estimator'!$A$10:$Z$225,X$2,FALSE)=0,"",VLOOKUP($A127,'Pre-Assessment Estimator'!$A$10:$Z$225,X$2,FALSE))</f>
        <v/>
      </c>
      <c r="Y127" s="577" t="str">
        <f>IF(VLOOKUP($A127,'Pre-Assessment Estimator'!$A$10:$Z$225,Y$2,FALSE)=0,"",VLOOKUP($A127,'Pre-Assessment Estimator'!$A$10:$Z$225,Y$2,FALSE))</f>
        <v/>
      </c>
      <c r="Z127" s="370" t="str">
        <f>IF(VLOOKUP($A127,'Pre-Assessment Estimator'!$A$10:$Z$225,Z$2,FALSE)=0,"",VLOOKUP($A127,'Pre-Assessment Estimator'!$A$10:$Z$225,Z$2,FALSE))</f>
        <v/>
      </c>
      <c r="AA127" s="696">
        <v>117</v>
      </c>
      <c r="AB127" s="577"/>
      <c r="AF127" s="386">
        <f t="shared" si="2"/>
        <v>1</v>
      </c>
    </row>
    <row r="128" spans="1:32" x14ac:dyDescent="0.25">
      <c r="A128" s="823">
        <v>119</v>
      </c>
      <c r="B128" s="1236" t="s">
        <v>69</v>
      </c>
      <c r="C128" s="1236"/>
      <c r="D128" s="1259" t="str">
        <f>VLOOKUP($A128,'Pre-Assessment Estimator'!$A$10:$Z$225,D$2,FALSE)</f>
        <v>Mat 03</v>
      </c>
      <c r="E128" s="1260" t="str">
        <f>VLOOKUP($A128,'Pre-Assessment Estimator'!$A$10:$Z$225,E$2,FALSE)</f>
        <v>Enabling sustainable procurement</v>
      </c>
      <c r="F128" s="574">
        <f>VLOOKUP($A128,'Pre-Assessment Estimator'!$A$10:$Z$225,F$2,FALSE)</f>
        <v>1</v>
      </c>
      <c r="G128" s="580" t="str">
        <f>IF(VLOOKUP($A128,'Pre-Assessment Estimator'!$A$10:$Z$225,G$2,FALSE)=0,"",VLOOKUP($A128,'Pre-Assessment Estimator'!$A$10:$Z$225,G$2,FALSE))</f>
        <v/>
      </c>
      <c r="H128" s="1222">
        <f>VLOOKUP($A128,'Pre-Assessment Estimator'!$A$10:$Z$225,H$2,FALSE)</f>
        <v>0</v>
      </c>
      <c r="I128" s="576" t="str">
        <f>VLOOKUP($A128,'Pre-Assessment Estimator'!$A$10:$Z$225,I$2,FALSE)</f>
        <v>N/A</v>
      </c>
      <c r="J128" s="577" t="str">
        <f>IF(VLOOKUP($A128,'Pre-Assessment Estimator'!$A$10:$Z$225,J$2,FALSE)=0,"",VLOOKUP($A128,'Pre-Assessment Estimator'!$A$10:$Z$225,J$2,FALSE))</f>
        <v/>
      </c>
      <c r="K128" s="577" t="str">
        <f>IF(VLOOKUP($A128,'Pre-Assessment Estimator'!$A$10:$Z$225,K$2,FALSE)=0,"",VLOOKUP($A128,'Pre-Assessment Estimator'!$A$10:$Z$225,K$2,FALSE))</f>
        <v/>
      </c>
      <c r="L128" s="578" t="str">
        <f>IF(VLOOKUP($A128,'Pre-Assessment Estimator'!$A$10:$Z$225,L$2,FALSE)=0,"",VLOOKUP($A128,'Pre-Assessment Estimator'!$A$10:$Z$225,L$2,FALSE))</f>
        <v/>
      </c>
      <c r="M128" s="579"/>
      <c r="N128" s="580" t="str">
        <f>IF(VLOOKUP($A128,'Pre-Assessment Estimator'!$A$10:$Z$225,N$2,FALSE)=0,"",VLOOKUP($A128,'Pre-Assessment Estimator'!$A$10:$Z$225,N$2,FALSE))</f>
        <v/>
      </c>
      <c r="O128" s="575">
        <f>VLOOKUP($A128,'Pre-Assessment Estimator'!$A$10:$Z$225,O$2,FALSE)</f>
        <v>0</v>
      </c>
      <c r="P128" s="574" t="str">
        <f>VLOOKUP($A128,'Pre-Assessment Estimator'!$A$10:$Z$225,P$2,FALSE)</f>
        <v>N/A</v>
      </c>
      <c r="Q128" s="577" t="str">
        <f>IF(VLOOKUP($A128,'Pre-Assessment Estimator'!$A$10:$Z$225,Q$2,FALSE)=0,"",VLOOKUP($A128,'Pre-Assessment Estimator'!$A$10:$Z$225,Q$2,FALSE))</f>
        <v/>
      </c>
      <c r="R128" s="577" t="str">
        <f>IF(VLOOKUP($A128,'Pre-Assessment Estimator'!$A$10:$Z$225,R$2,FALSE)=0,"",VLOOKUP($A128,'Pre-Assessment Estimator'!$A$10:$Z$225,R$2,FALSE))</f>
        <v/>
      </c>
      <c r="S128" s="578" t="str">
        <f>IF(VLOOKUP($A128,'Pre-Assessment Estimator'!$A$10:$Z$225,S$2,FALSE)=0,"",VLOOKUP($A128,'Pre-Assessment Estimator'!$A$10:$Z$225,S$2,FALSE))</f>
        <v/>
      </c>
      <c r="T128" s="581"/>
      <c r="U128" s="580" t="str">
        <f>IF(VLOOKUP($A128,'Pre-Assessment Estimator'!$A$10:$Z$225,U$2,FALSE)=0,"",VLOOKUP($A128,'Pre-Assessment Estimator'!$A$10:$Z$225,U$2,FALSE))</f>
        <v/>
      </c>
      <c r="V128" s="575">
        <f>VLOOKUP($A128,'Pre-Assessment Estimator'!$A$10:$Z$225,V$2,FALSE)</f>
        <v>0</v>
      </c>
      <c r="W128" s="574" t="str">
        <f>VLOOKUP($A128,'Pre-Assessment Estimator'!$A$10:$Z$225,W$2,FALSE)</f>
        <v>N/A</v>
      </c>
      <c r="X128" s="577" t="str">
        <f>IF(VLOOKUP($A128,'Pre-Assessment Estimator'!$A$10:$Z$225,X$2,FALSE)=0,"",VLOOKUP($A128,'Pre-Assessment Estimator'!$A$10:$Z$225,X$2,FALSE))</f>
        <v/>
      </c>
      <c r="Y128" s="577" t="str">
        <f>IF(VLOOKUP($A128,'Pre-Assessment Estimator'!$A$10:$Z$225,Y$2,FALSE)=0,"",VLOOKUP($A128,'Pre-Assessment Estimator'!$A$10:$Z$225,Y$2,FALSE))</f>
        <v/>
      </c>
      <c r="Z128" s="370" t="str">
        <f>IF(VLOOKUP($A128,'Pre-Assessment Estimator'!$A$10:$Z$225,Z$2,FALSE)=0,"",VLOOKUP($A128,'Pre-Assessment Estimator'!$A$10:$Z$225,Z$2,FALSE))</f>
        <v/>
      </c>
      <c r="AA128" s="696">
        <v>118</v>
      </c>
      <c r="AB128" s="577"/>
      <c r="AF128" s="386">
        <f t="shared" si="2"/>
        <v>1</v>
      </c>
    </row>
    <row r="129" spans="1:32" x14ac:dyDescent="0.25">
      <c r="A129" s="823">
        <v>120</v>
      </c>
      <c r="B129" s="1236" t="s">
        <v>69</v>
      </c>
      <c r="C129" s="1236"/>
      <c r="D129" s="1259" t="str">
        <f>VLOOKUP($A129,'Pre-Assessment Estimator'!$A$10:$Z$225,D$2,FALSE)</f>
        <v>Mat 03</v>
      </c>
      <c r="E129" s="1260" t="str">
        <f>VLOOKUP($A129,'Pre-Assessment Estimator'!$A$10:$Z$225,E$2,FALSE)</f>
        <v>Responsible sourcing of relevant materials</v>
      </c>
      <c r="F129" s="574">
        <f>VLOOKUP($A129,'Pre-Assessment Estimator'!$A$10:$Z$225,F$2,FALSE)</f>
        <v>2</v>
      </c>
      <c r="G129" s="580" t="str">
        <f>IF(VLOOKUP($A129,'Pre-Assessment Estimator'!$A$10:$Z$225,G$2,FALSE)=0,"",VLOOKUP($A129,'Pre-Assessment Estimator'!$A$10:$Z$225,G$2,FALSE))</f>
        <v/>
      </c>
      <c r="H129" s="1222">
        <f>VLOOKUP($A129,'Pre-Assessment Estimator'!$A$10:$Z$225,H$2,FALSE)</f>
        <v>0</v>
      </c>
      <c r="I129" s="576" t="str">
        <f>VLOOKUP($A129,'Pre-Assessment Estimator'!$A$10:$Z$225,I$2,FALSE)</f>
        <v>N/A</v>
      </c>
      <c r="J129" s="577" t="str">
        <f>IF(VLOOKUP($A129,'Pre-Assessment Estimator'!$A$10:$Z$225,J$2,FALSE)=0,"",VLOOKUP($A129,'Pre-Assessment Estimator'!$A$10:$Z$225,J$2,FALSE))</f>
        <v/>
      </c>
      <c r="K129" s="577" t="str">
        <f>IF(VLOOKUP($A129,'Pre-Assessment Estimator'!$A$10:$Z$225,K$2,FALSE)=0,"",VLOOKUP($A129,'Pre-Assessment Estimator'!$A$10:$Z$225,K$2,FALSE))</f>
        <v/>
      </c>
      <c r="L129" s="578" t="str">
        <f>IF(VLOOKUP($A129,'Pre-Assessment Estimator'!$A$10:$Z$225,L$2,FALSE)=0,"",VLOOKUP($A129,'Pre-Assessment Estimator'!$A$10:$Z$225,L$2,FALSE))</f>
        <v/>
      </c>
      <c r="M129" s="579"/>
      <c r="N129" s="580" t="str">
        <f>IF(VLOOKUP($A129,'Pre-Assessment Estimator'!$A$10:$Z$225,N$2,FALSE)=0,"",VLOOKUP($A129,'Pre-Assessment Estimator'!$A$10:$Z$225,N$2,FALSE))</f>
        <v/>
      </c>
      <c r="O129" s="575">
        <f>VLOOKUP($A129,'Pre-Assessment Estimator'!$A$10:$Z$225,O$2,FALSE)</f>
        <v>0</v>
      </c>
      <c r="P129" s="574" t="str">
        <f>VLOOKUP($A129,'Pre-Assessment Estimator'!$A$10:$Z$225,P$2,FALSE)</f>
        <v>N/A</v>
      </c>
      <c r="Q129" s="577" t="str">
        <f>IF(VLOOKUP($A129,'Pre-Assessment Estimator'!$A$10:$Z$225,Q$2,FALSE)=0,"",VLOOKUP($A129,'Pre-Assessment Estimator'!$A$10:$Z$225,Q$2,FALSE))</f>
        <v/>
      </c>
      <c r="R129" s="577" t="str">
        <f>IF(VLOOKUP($A129,'Pre-Assessment Estimator'!$A$10:$Z$225,R$2,FALSE)=0,"",VLOOKUP($A129,'Pre-Assessment Estimator'!$A$10:$Z$225,R$2,FALSE))</f>
        <v/>
      </c>
      <c r="S129" s="578" t="str">
        <f>IF(VLOOKUP($A129,'Pre-Assessment Estimator'!$A$10:$Z$225,S$2,FALSE)=0,"",VLOOKUP($A129,'Pre-Assessment Estimator'!$A$10:$Z$225,S$2,FALSE))</f>
        <v/>
      </c>
      <c r="T129" s="581"/>
      <c r="U129" s="580" t="str">
        <f>IF(VLOOKUP($A129,'Pre-Assessment Estimator'!$A$10:$Z$225,U$2,FALSE)=0,"",VLOOKUP($A129,'Pre-Assessment Estimator'!$A$10:$Z$225,U$2,FALSE))</f>
        <v/>
      </c>
      <c r="V129" s="575">
        <f>VLOOKUP($A129,'Pre-Assessment Estimator'!$A$10:$Z$225,V$2,FALSE)</f>
        <v>0</v>
      </c>
      <c r="W129" s="574" t="str">
        <f>VLOOKUP($A129,'Pre-Assessment Estimator'!$A$10:$Z$225,W$2,FALSE)</f>
        <v>N/A</v>
      </c>
      <c r="X129" s="577" t="str">
        <f>IF(VLOOKUP($A129,'Pre-Assessment Estimator'!$A$10:$Z$225,X$2,FALSE)=0,"",VLOOKUP($A129,'Pre-Assessment Estimator'!$A$10:$Z$225,X$2,FALSE))</f>
        <v/>
      </c>
      <c r="Y129" s="577" t="str">
        <f>IF(VLOOKUP($A129,'Pre-Assessment Estimator'!$A$10:$Z$225,Y$2,FALSE)=0,"",VLOOKUP($A129,'Pre-Assessment Estimator'!$A$10:$Z$225,Y$2,FALSE))</f>
        <v/>
      </c>
      <c r="Z129" s="370" t="str">
        <f>IF(VLOOKUP($A129,'Pre-Assessment Estimator'!$A$10:$Z$225,Z$2,FALSE)=0,"",VLOOKUP($A129,'Pre-Assessment Estimator'!$A$10:$Z$225,Z$2,FALSE))</f>
        <v/>
      </c>
      <c r="AA129" s="696">
        <v>119</v>
      </c>
      <c r="AB129" s="577"/>
      <c r="AF129" s="386">
        <f t="shared" si="2"/>
        <v>1</v>
      </c>
    </row>
    <row r="130" spans="1:32" x14ac:dyDescent="0.25">
      <c r="A130" s="823">
        <v>121</v>
      </c>
      <c r="B130" s="1236" t="s">
        <v>69</v>
      </c>
      <c r="C130" s="1236"/>
      <c r="D130" s="1258" t="str">
        <f>VLOOKUP($A130,'Pre-Assessment Estimator'!$A$10:$Z$225,D$2,FALSE)</f>
        <v>Mat 05</v>
      </c>
      <c r="E130" s="1258" t="str">
        <f>VLOOKUP($A130,'Pre-Assessment Estimator'!$A$10:$Z$225,E$2,FALSE)</f>
        <v>Mat 05 Designing for durability and climate adaption</v>
      </c>
      <c r="F130" s="574">
        <f>VLOOKUP($A130,'Pre-Assessment Estimator'!$A$10:$Z$225,F$2,FALSE)</f>
        <v>4</v>
      </c>
      <c r="G130" s="580" t="str">
        <f>IF(VLOOKUP($A130,'Pre-Assessment Estimator'!$A$10:$Z$225,G$2,FALSE)=0,"",VLOOKUP($A130,'Pre-Assessment Estimator'!$A$10:$Z$225,G$2,FALSE))</f>
        <v/>
      </c>
      <c r="H130" s="1222" t="str">
        <f>VLOOKUP($A130,'Pre-Assessment Estimator'!$A$10:$Z$225,H$2,FALSE)</f>
        <v>0 c. 0 %</v>
      </c>
      <c r="I130" s="576" t="str">
        <f>VLOOKUP($A130,'Pre-Assessment Estimator'!$A$10:$Z$225,I$2,FALSE)</f>
        <v>N/A</v>
      </c>
      <c r="J130" s="577" t="str">
        <f>IF(VLOOKUP($A130,'Pre-Assessment Estimator'!$A$10:$Z$225,J$2,FALSE)=0,"",VLOOKUP($A130,'Pre-Assessment Estimator'!$A$10:$Z$225,J$2,FALSE))</f>
        <v/>
      </c>
      <c r="K130" s="577" t="str">
        <f>IF(VLOOKUP($A130,'Pre-Assessment Estimator'!$A$10:$Z$225,K$2,FALSE)=0,"",VLOOKUP($A130,'Pre-Assessment Estimator'!$A$10:$Z$225,K$2,FALSE))</f>
        <v/>
      </c>
      <c r="L130" s="578" t="str">
        <f>IF(VLOOKUP($A130,'Pre-Assessment Estimator'!$A$10:$Z$225,L$2,FALSE)=0,"",VLOOKUP($A130,'Pre-Assessment Estimator'!$A$10:$Z$225,L$2,FALSE))</f>
        <v/>
      </c>
      <c r="M130" s="579"/>
      <c r="N130" s="580" t="str">
        <f>IF(VLOOKUP($A130,'Pre-Assessment Estimator'!$A$10:$Z$225,N$2,FALSE)=0,"",VLOOKUP($A130,'Pre-Assessment Estimator'!$A$10:$Z$225,N$2,FALSE))</f>
        <v/>
      </c>
      <c r="O130" s="575" t="str">
        <f>VLOOKUP($A130,'Pre-Assessment Estimator'!$A$10:$Z$225,O$2,FALSE)</f>
        <v>0 c. 0 %</v>
      </c>
      <c r="P130" s="574" t="str">
        <f>VLOOKUP($A130,'Pre-Assessment Estimator'!$A$10:$Z$225,P$2,FALSE)</f>
        <v>N/A</v>
      </c>
      <c r="Q130" s="577" t="str">
        <f>IF(VLOOKUP($A130,'Pre-Assessment Estimator'!$A$10:$Z$225,Q$2,FALSE)=0,"",VLOOKUP($A130,'Pre-Assessment Estimator'!$A$10:$Z$225,Q$2,FALSE))</f>
        <v/>
      </c>
      <c r="R130" s="577" t="str">
        <f>IF(VLOOKUP($A130,'Pre-Assessment Estimator'!$A$10:$Z$225,R$2,FALSE)=0,"",VLOOKUP($A130,'Pre-Assessment Estimator'!$A$10:$Z$225,R$2,FALSE))</f>
        <v/>
      </c>
      <c r="S130" s="578" t="str">
        <f>IF(VLOOKUP($A130,'Pre-Assessment Estimator'!$A$10:$Z$225,S$2,FALSE)=0,"",VLOOKUP($A130,'Pre-Assessment Estimator'!$A$10:$Z$225,S$2,FALSE))</f>
        <v/>
      </c>
      <c r="T130" s="581"/>
      <c r="U130" s="580" t="str">
        <f>IF(VLOOKUP($A130,'Pre-Assessment Estimator'!$A$10:$Z$225,U$2,FALSE)=0,"",VLOOKUP($A130,'Pre-Assessment Estimator'!$A$10:$Z$225,U$2,FALSE))</f>
        <v/>
      </c>
      <c r="V130" s="575" t="str">
        <f>VLOOKUP($A130,'Pre-Assessment Estimator'!$A$10:$Z$225,V$2,FALSE)</f>
        <v>0 c. 0 %</v>
      </c>
      <c r="W130" s="574" t="str">
        <f>VLOOKUP($A130,'Pre-Assessment Estimator'!$A$10:$Z$225,W$2,FALSE)</f>
        <v>N/A</v>
      </c>
      <c r="X130" s="577" t="str">
        <f>IF(VLOOKUP($A130,'Pre-Assessment Estimator'!$A$10:$Z$225,X$2,FALSE)=0,"",VLOOKUP($A130,'Pre-Assessment Estimator'!$A$10:$Z$225,X$2,FALSE))</f>
        <v/>
      </c>
      <c r="Y130" s="577" t="str">
        <f>IF(VLOOKUP($A130,'Pre-Assessment Estimator'!$A$10:$Z$225,Y$2,FALSE)=0,"",VLOOKUP($A130,'Pre-Assessment Estimator'!$A$10:$Z$225,Y$2,FALSE))</f>
        <v/>
      </c>
      <c r="Z130" s="370" t="str">
        <f>IF(VLOOKUP($A130,'Pre-Assessment Estimator'!$A$10:$Z$225,Z$2,FALSE)=0,"",VLOOKUP($A130,'Pre-Assessment Estimator'!$A$10:$Z$225,Z$2,FALSE))</f>
        <v/>
      </c>
      <c r="AA130" s="696">
        <v>120</v>
      </c>
      <c r="AB130" s="577"/>
      <c r="AF130" s="386">
        <f t="shared" si="2"/>
        <v>1</v>
      </c>
    </row>
    <row r="131" spans="1:32" x14ac:dyDescent="0.25">
      <c r="A131" s="823">
        <v>122</v>
      </c>
      <c r="B131" s="1236" t="s">
        <v>69</v>
      </c>
      <c r="C131" s="1236"/>
      <c r="D131" s="1259" t="str">
        <f>VLOOKUP($A131,'Pre-Assessment Estimator'!$A$10:$Z$225,D$2,FALSE)</f>
        <v>Mat 05</v>
      </c>
      <c r="E131" s="1260" t="str">
        <f>VLOOKUP($A131,'Pre-Assessment Estimator'!$A$10:$Z$225,E$2,FALSE)</f>
        <v>Pre-requisite: risk analysis</v>
      </c>
      <c r="F131" s="574" t="str">
        <f>VLOOKUP($A131,'Pre-Assessment Estimator'!$A$10:$Z$225,F$2,FALSE)</f>
        <v>Yes/No</v>
      </c>
      <c r="G131" s="580" t="str">
        <f>IF(VLOOKUP($A131,'Pre-Assessment Estimator'!$A$10:$Z$225,G$2,FALSE)=0,"",VLOOKUP($A131,'Pre-Assessment Estimator'!$A$10:$Z$225,G$2,FALSE))</f>
        <v/>
      </c>
      <c r="H131" s="1222" t="str">
        <f>VLOOKUP($A131,'Pre-Assessment Estimator'!$A$10:$Z$225,H$2,FALSE)</f>
        <v>-</v>
      </c>
      <c r="I131" s="576" t="str">
        <f>VLOOKUP($A131,'Pre-Assessment Estimator'!$A$10:$Z$225,I$2,FALSE)</f>
        <v>N/A</v>
      </c>
      <c r="J131" s="577" t="str">
        <f>IF(VLOOKUP($A131,'Pre-Assessment Estimator'!$A$10:$Z$225,J$2,FALSE)=0,"",VLOOKUP($A131,'Pre-Assessment Estimator'!$A$10:$Z$225,J$2,FALSE))</f>
        <v/>
      </c>
      <c r="K131" s="577" t="str">
        <f>IF(VLOOKUP($A131,'Pre-Assessment Estimator'!$A$10:$Z$225,K$2,FALSE)=0,"",VLOOKUP($A131,'Pre-Assessment Estimator'!$A$10:$Z$225,K$2,FALSE))</f>
        <v/>
      </c>
      <c r="L131" s="578" t="str">
        <f>IF(VLOOKUP($A131,'Pre-Assessment Estimator'!$A$10:$Z$225,L$2,FALSE)=0,"",VLOOKUP($A131,'Pre-Assessment Estimator'!$A$10:$Z$225,L$2,FALSE))</f>
        <v/>
      </c>
      <c r="M131" s="579"/>
      <c r="N131" s="580" t="str">
        <f>IF(VLOOKUP($A131,'Pre-Assessment Estimator'!$A$10:$Z$225,N$2,FALSE)=0,"",VLOOKUP($A131,'Pre-Assessment Estimator'!$A$10:$Z$225,N$2,FALSE))</f>
        <v/>
      </c>
      <c r="O131" s="575" t="str">
        <f>VLOOKUP($A131,'Pre-Assessment Estimator'!$A$10:$Z$225,O$2,FALSE)</f>
        <v>-</v>
      </c>
      <c r="P131" s="574" t="str">
        <f>VLOOKUP($A131,'Pre-Assessment Estimator'!$A$10:$Z$225,P$2,FALSE)</f>
        <v>N/A</v>
      </c>
      <c r="Q131" s="577" t="str">
        <f>IF(VLOOKUP($A131,'Pre-Assessment Estimator'!$A$10:$Z$225,Q$2,FALSE)=0,"",VLOOKUP($A131,'Pre-Assessment Estimator'!$A$10:$Z$225,Q$2,FALSE))</f>
        <v/>
      </c>
      <c r="R131" s="577" t="str">
        <f>IF(VLOOKUP($A131,'Pre-Assessment Estimator'!$A$10:$Z$225,R$2,FALSE)=0,"",VLOOKUP($A131,'Pre-Assessment Estimator'!$A$10:$Z$225,R$2,FALSE))</f>
        <v/>
      </c>
      <c r="S131" s="578" t="str">
        <f>IF(VLOOKUP($A131,'Pre-Assessment Estimator'!$A$10:$Z$225,S$2,FALSE)=0,"",VLOOKUP($A131,'Pre-Assessment Estimator'!$A$10:$Z$225,S$2,FALSE))</f>
        <v/>
      </c>
      <c r="T131" s="581"/>
      <c r="U131" s="580" t="str">
        <f>IF(VLOOKUP($A131,'Pre-Assessment Estimator'!$A$10:$Z$225,U$2,FALSE)=0,"",VLOOKUP($A131,'Pre-Assessment Estimator'!$A$10:$Z$225,U$2,FALSE))</f>
        <v/>
      </c>
      <c r="V131" s="575" t="str">
        <f>VLOOKUP($A131,'Pre-Assessment Estimator'!$A$10:$Z$225,V$2,FALSE)</f>
        <v>-</v>
      </c>
      <c r="W131" s="574" t="str">
        <f>VLOOKUP($A131,'Pre-Assessment Estimator'!$A$10:$Z$225,W$2,FALSE)</f>
        <v>N/A</v>
      </c>
      <c r="X131" s="577" t="str">
        <f>IF(VLOOKUP($A131,'Pre-Assessment Estimator'!$A$10:$Z$225,X$2,FALSE)=0,"",VLOOKUP($A131,'Pre-Assessment Estimator'!$A$10:$Z$225,X$2,FALSE))</f>
        <v/>
      </c>
      <c r="Y131" s="577" t="str">
        <f>IF(VLOOKUP($A131,'Pre-Assessment Estimator'!$A$10:$Z$225,Y$2,FALSE)=0,"",VLOOKUP($A131,'Pre-Assessment Estimator'!$A$10:$Z$225,Y$2,FALSE))</f>
        <v/>
      </c>
      <c r="Z131" s="370" t="str">
        <f>IF(VLOOKUP($A131,'Pre-Assessment Estimator'!$A$10:$Z$225,Z$2,FALSE)=0,"",VLOOKUP($A131,'Pre-Assessment Estimator'!$A$10:$Z$225,Z$2,FALSE))</f>
        <v/>
      </c>
      <c r="AA131" s="696">
        <v>121</v>
      </c>
      <c r="AB131" s="577"/>
      <c r="AF131" s="386">
        <f t="shared" si="2"/>
        <v>1</v>
      </c>
    </row>
    <row r="132" spans="1:32" x14ac:dyDescent="0.25">
      <c r="A132" s="823">
        <v>123</v>
      </c>
      <c r="B132" s="1236" t="s">
        <v>69</v>
      </c>
      <c r="C132" s="1236"/>
      <c r="D132" s="1259" t="str">
        <f>VLOOKUP($A132,'Pre-Assessment Estimator'!$A$10:$Z$225,D$2,FALSE)</f>
        <v>Mat 05</v>
      </c>
      <c r="E132" s="1260" t="str">
        <f>VLOOKUP($A132,'Pre-Assessment Estimator'!$A$10:$Z$225,E$2,FALSE)</f>
        <v>Protect vulnerable parts of the building from damage</v>
      </c>
      <c r="F132" s="574">
        <f>VLOOKUP($A132,'Pre-Assessment Estimator'!$A$10:$Z$225,F$2,FALSE)</f>
        <v>1</v>
      </c>
      <c r="G132" s="580" t="str">
        <f>IF(VLOOKUP($A132,'Pre-Assessment Estimator'!$A$10:$Z$225,G$2,FALSE)=0,"",VLOOKUP($A132,'Pre-Assessment Estimator'!$A$10:$Z$225,G$2,FALSE))</f>
        <v/>
      </c>
      <c r="H132" s="1222">
        <f>VLOOKUP($A132,'Pre-Assessment Estimator'!$A$10:$Z$225,H$2,FALSE)</f>
        <v>0</v>
      </c>
      <c r="I132" s="576" t="str">
        <f>VLOOKUP($A132,'Pre-Assessment Estimator'!$A$10:$Z$225,I$2,FALSE)</f>
        <v>N/A</v>
      </c>
      <c r="J132" s="577" t="str">
        <f>IF(VLOOKUP($A132,'Pre-Assessment Estimator'!$A$10:$Z$225,J$2,FALSE)=0,"",VLOOKUP($A132,'Pre-Assessment Estimator'!$A$10:$Z$225,J$2,FALSE))</f>
        <v/>
      </c>
      <c r="K132" s="577" t="str">
        <f>IF(VLOOKUP($A132,'Pre-Assessment Estimator'!$A$10:$Z$225,K$2,FALSE)=0,"",VLOOKUP($A132,'Pre-Assessment Estimator'!$A$10:$Z$225,K$2,FALSE))</f>
        <v/>
      </c>
      <c r="L132" s="578" t="str">
        <f>IF(VLOOKUP($A132,'Pre-Assessment Estimator'!$A$10:$Z$225,L$2,FALSE)=0,"",VLOOKUP($A132,'Pre-Assessment Estimator'!$A$10:$Z$225,L$2,FALSE))</f>
        <v/>
      </c>
      <c r="M132" s="579"/>
      <c r="N132" s="580" t="str">
        <f>IF(VLOOKUP($A132,'Pre-Assessment Estimator'!$A$10:$Z$225,N$2,FALSE)=0,"",VLOOKUP($A132,'Pre-Assessment Estimator'!$A$10:$Z$225,N$2,FALSE))</f>
        <v/>
      </c>
      <c r="O132" s="575">
        <f>VLOOKUP($A132,'Pre-Assessment Estimator'!$A$10:$Z$225,O$2,FALSE)</f>
        <v>0</v>
      </c>
      <c r="P132" s="574" t="str">
        <f>VLOOKUP($A132,'Pre-Assessment Estimator'!$A$10:$Z$225,P$2,FALSE)</f>
        <v>N/A</v>
      </c>
      <c r="Q132" s="577" t="str">
        <f>IF(VLOOKUP($A132,'Pre-Assessment Estimator'!$A$10:$Z$225,Q$2,FALSE)=0,"",VLOOKUP($A132,'Pre-Assessment Estimator'!$A$10:$Z$225,Q$2,FALSE))</f>
        <v/>
      </c>
      <c r="R132" s="577" t="str">
        <f>IF(VLOOKUP($A132,'Pre-Assessment Estimator'!$A$10:$Z$225,R$2,FALSE)=0,"",VLOOKUP($A132,'Pre-Assessment Estimator'!$A$10:$Z$225,R$2,FALSE))</f>
        <v/>
      </c>
      <c r="S132" s="578" t="str">
        <f>IF(VLOOKUP($A132,'Pre-Assessment Estimator'!$A$10:$Z$225,S$2,FALSE)=0,"",VLOOKUP($A132,'Pre-Assessment Estimator'!$A$10:$Z$225,S$2,FALSE))</f>
        <v/>
      </c>
      <c r="T132" s="581"/>
      <c r="U132" s="580" t="str">
        <f>IF(VLOOKUP($A132,'Pre-Assessment Estimator'!$A$10:$Z$225,U$2,FALSE)=0,"",VLOOKUP($A132,'Pre-Assessment Estimator'!$A$10:$Z$225,U$2,FALSE))</f>
        <v/>
      </c>
      <c r="V132" s="575">
        <f>VLOOKUP($A132,'Pre-Assessment Estimator'!$A$10:$Z$225,V$2,FALSE)</f>
        <v>0</v>
      </c>
      <c r="W132" s="574" t="str">
        <f>VLOOKUP($A132,'Pre-Assessment Estimator'!$A$10:$Z$225,W$2,FALSE)</f>
        <v>N/A</v>
      </c>
      <c r="X132" s="577" t="str">
        <f>IF(VLOOKUP($A132,'Pre-Assessment Estimator'!$A$10:$Z$225,X$2,FALSE)=0,"",VLOOKUP($A132,'Pre-Assessment Estimator'!$A$10:$Z$225,X$2,FALSE))</f>
        <v/>
      </c>
      <c r="Y132" s="577" t="str">
        <f>IF(VLOOKUP($A132,'Pre-Assessment Estimator'!$A$10:$Z$225,Y$2,FALSE)=0,"",VLOOKUP($A132,'Pre-Assessment Estimator'!$A$10:$Z$225,Y$2,FALSE))</f>
        <v/>
      </c>
      <c r="Z132" s="370" t="str">
        <f>IF(VLOOKUP($A132,'Pre-Assessment Estimator'!$A$10:$Z$225,Z$2,FALSE)=0,"",VLOOKUP($A132,'Pre-Assessment Estimator'!$A$10:$Z$225,Z$2,FALSE))</f>
        <v/>
      </c>
      <c r="AA132" s="696">
        <v>122</v>
      </c>
      <c r="AB132" s="577"/>
      <c r="AF132" s="386">
        <f t="shared" si="2"/>
        <v>1</v>
      </c>
    </row>
    <row r="133" spans="1:32" x14ac:dyDescent="0.25">
      <c r="A133" s="823">
        <v>124</v>
      </c>
      <c r="B133" s="1236" t="s">
        <v>69</v>
      </c>
      <c r="C133" s="1236"/>
      <c r="D133" s="1259" t="str">
        <f>VLOOKUP($A133,'Pre-Assessment Estimator'!$A$10:$Z$225,D$2,FALSE)</f>
        <v>Mat 05</v>
      </c>
      <c r="E133" s="1260" t="str">
        <f>VLOOKUP($A133,'Pre-Assessment Estimator'!$A$10:$Z$225,E$2,FALSE)</f>
        <v xml:space="preserve">Protecting exposed parts of the building from material degradation </v>
      </c>
      <c r="F133" s="574">
        <f>VLOOKUP($A133,'Pre-Assessment Estimator'!$A$10:$Z$225,F$2,FALSE)</f>
        <v>1</v>
      </c>
      <c r="G133" s="580" t="str">
        <f>IF(VLOOKUP($A133,'Pre-Assessment Estimator'!$A$10:$Z$225,G$2,FALSE)=0,"",VLOOKUP($A133,'Pre-Assessment Estimator'!$A$10:$Z$225,G$2,FALSE))</f>
        <v/>
      </c>
      <c r="H133" s="1222">
        <f>VLOOKUP($A133,'Pre-Assessment Estimator'!$A$10:$Z$225,H$2,FALSE)</f>
        <v>0</v>
      </c>
      <c r="I133" s="576" t="str">
        <f>VLOOKUP($A133,'Pre-Assessment Estimator'!$A$10:$Z$225,I$2,FALSE)</f>
        <v>N/A</v>
      </c>
      <c r="J133" s="577" t="str">
        <f>IF(VLOOKUP($A133,'Pre-Assessment Estimator'!$A$10:$Z$225,J$2,FALSE)=0,"",VLOOKUP($A133,'Pre-Assessment Estimator'!$A$10:$Z$225,J$2,FALSE))</f>
        <v/>
      </c>
      <c r="K133" s="577" t="str">
        <f>IF(VLOOKUP($A133,'Pre-Assessment Estimator'!$A$10:$Z$225,K$2,FALSE)=0,"",VLOOKUP($A133,'Pre-Assessment Estimator'!$A$10:$Z$225,K$2,FALSE))</f>
        <v/>
      </c>
      <c r="L133" s="578" t="str">
        <f>IF(VLOOKUP($A133,'Pre-Assessment Estimator'!$A$10:$Z$225,L$2,FALSE)=0,"",VLOOKUP($A133,'Pre-Assessment Estimator'!$A$10:$Z$225,L$2,FALSE))</f>
        <v/>
      </c>
      <c r="M133" s="579"/>
      <c r="N133" s="580" t="str">
        <f>IF(VLOOKUP($A133,'Pre-Assessment Estimator'!$A$10:$Z$225,N$2,FALSE)=0,"",VLOOKUP($A133,'Pre-Assessment Estimator'!$A$10:$Z$225,N$2,FALSE))</f>
        <v/>
      </c>
      <c r="O133" s="575">
        <f>VLOOKUP($A133,'Pre-Assessment Estimator'!$A$10:$Z$225,O$2,FALSE)</f>
        <v>0</v>
      </c>
      <c r="P133" s="574" t="str">
        <f>VLOOKUP($A133,'Pre-Assessment Estimator'!$A$10:$Z$225,P$2,FALSE)</f>
        <v>N/A</v>
      </c>
      <c r="Q133" s="577" t="str">
        <f>IF(VLOOKUP($A133,'Pre-Assessment Estimator'!$A$10:$Z$225,Q$2,FALSE)=0,"",VLOOKUP($A133,'Pre-Assessment Estimator'!$A$10:$Z$225,Q$2,FALSE))</f>
        <v/>
      </c>
      <c r="R133" s="577" t="str">
        <f>IF(VLOOKUP($A133,'Pre-Assessment Estimator'!$A$10:$Z$225,R$2,FALSE)=0,"",VLOOKUP($A133,'Pre-Assessment Estimator'!$A$10:$Z$225,R$2,FALSE))</f>
        <v/>
      </c>
      <c r="S133" s="578" t="str">
        <f>IF(VLOOKUP($A133,'Pre-Assessment Estimator'!$A$10:$Z$225,S$2,FALSE)=0,"",VLOOKUP($A133,'Pre-Assessment Estimator'!$A$10:$Z$225,S$2,FALSE))</f>
        <v/>
      </c>
      <c r="T133" s="581"/>
      <c r="U133" s="580" t="str">
        <f>IF(VLOOKUP($A133,'Pre-Assessment Estimator'!$A$10:$Z$225,U$2,FALSE)=0,"",VLOOKUP($A133,'Pre-Assessment Estimator'!$A$10:$Z$225,U$2,FALSE))</f>
        <v/>
      </c>
      <c r="V133" s="575">
        <f>VLOOKUP($A133,'Pre-Assessment Estimator'!$A$10:$Z$225,V$2,FALSE)</f>
        <v>0</v>
      </c>
      <c r="W133" s="574" t="str">
        <f>VLOOKUP($A133,'Pre-Assessment Estimator'!$A$10:$Z$225,W$2,FALSE)</f>
        <v>N/A</v>
      </c>
      <c r="X133" s="577" t="str">
        <f>IF(VLOOKUP($A133,'Pre-Assessment Estimator'!$A$10:$Z$225,X$2,FALSE)=0,"",VLOOKUP($A133,'Pre-Assessment Estimator'!$A$10:$Z$225,X$2,FALSE))</f>
        <v/>
      </c>
      <c r="Y133" s="577" t="str">
        <f>IF(VLOOKUP($A133,'Pre-Assessment Estimator'!$A$10:$Z$225,Y$2,FALSE)=0,"",VLOOKUP($A133,'Pre-Assessment Estimator'!$A$10:$Z$225,Y$2,FALSE))</f>
        <v/>
      </c>
      <c r="Z133" s="370" t="str">
        <f>IF(VLOOKUP($A133,'Pre-Assessment Estimator'!$A$10:$Z$225,Z$2,FALSE)=0,"",VLOOKUP($A133,'Pre-Assessment Estimator'!$A$10:$Z$225,Z$2,FALSE))</f>
        <v/>
      </c>
      <c r="AA133" s="696">
        <v>123</v>
      </c>
      <c r="AB133" s="577"/>
      <c r="AF133" s="386">
        <f t="shared" si="2"/>
        <v>1</v>
      </c>
    </row>
    <row r="134" spans="1:32" x14ac:dyDescent="0.25">
      <c r="A134" s="823">
        <v>125</v>
      </c>
      <c r="B134" s="1236" t="s">
        <v>69</v>
      </c>
      <c r="C134" s="1236"/>
      <c r="D134" s="1259" t="str">
        <f>VLOOKUP($A134,'Pre-Assessment Estimator'!$A$10:$Z$225,D$2,FALSE)</f>
        <v>Mat 05</v>
      </c>
      <c r="E134" s="1260" t="str">
        <f>VLOOKUP($A134,'Pre-Assessment Estimator'!$A$10:$Z$225,E$2,FALSE)</f>
        <v>Control plan and moisture measurements</v>
      </c>
      <c r="F134" s="574">
        <f>VLOOKUP($A134,'Pre-Assessment Estimator'!$A$10:$Z$225,F$2,FALSE)</f>
        <v>1</v>
      </c>
      <c r="G134" s="580" t="str">
        <f>IF(VLOOKUP($A134,'Pre-Assessment Estimator'!$A$10:$Z$225,G$2,FALSE)=0,"",VLOOKUP($A134,'Pre-Assessment Estimator'!$A$10:$Z$225,G$2,FALSE))</f>
        <v/>
      </c>
      <c r="H134" s="1222">
        <f>VLOOKUP($A134,'Pre-Assessment Estimator'!$A$10:$Z$225,H$2,FALSE)</f>
        <v>0</v>
      </c>
      <c r="I134" s="576" t="str">
        <f>VLOOKUP($A134,'Pre-Assessment Estimator'!$A$10:$Z$225,I$2,FALSE)</f>
        <v>Very Good</v>
      </c>
      <c r="J134" s="577" t="str">
        <f>IF(VLOOKUP($A134,'Pre-Assessment Estimator'!$A$10:$Z$225,J$2,FALSE)=0,"",VLOOKUP($A134,'Pre-Assessment Estimator'!$A$10:$Z$225,J$2,FALSE))</f>
        <v/>
      </c>
      <c r="K134" s="577" t="str">
        <f>IF(VLOOKUP($A134,'Pre-Assessment Estimator'!$A$10:$Z$225,K$2,FALSE)=0,"",VLOOKUP($A134,'Pre-Assessment Estimator'!$A$10:$Z$225,K$2,FALSE))</f>
        <v/>
      </c>
      <c r="L134" s="578" t="str">
        <f>IF(VLOOKUP($A134,'Pre-Assessment Estimator'!$A$10:$Z$225,L$2,FALSE)=0,"",VLOOKUP($A134,'Pre-Assessment Estimator'!$A$10:$Z$225,L$2,FALSE))</f>
        <v/>
      </c>
      <c r="M134" s="579"/>
      <c r="N134" s="580" t="str">
        <f>IF(VLOOKUP($A134,'Pre-Assessment Estimator'!$A$10:$Z$225,N$2,FALSE)=0,"",VLOOKUP($A134,'Pre-Assessment Estimator'!$A$10:$Z$225,N$2,FALSE))</f>
        <v/>
      </c>
      <c r="O134" s="575">
        <f>VLOOKUP($A134,'Pre-Assessment Estimator'!$A$10:$Z$225,O$2,FALSE)</f>
        <v>0</v>
      </c>
      <c r="P134" s="574" t="str">
        <f>VLOOKUP($A134,'Pre-Assessment Estimator'!$A$10:$Z$225,P$2,FALSE)</f>
        <v>Very Good</v>
      </c>
      <c r="Q134" s="577" t="str">
        <f>IF(VLOOKUP($A134,'Pre-Assessment Estimator'!$A$10:$Z$225,Q$2,FALSE)=0,"",VLOOKUP($A134,'Pre-Assessment Estimator'!$A$10:$Z$225,Q$2,FALSE))</f>
        <v/>
      </c>
      <c r="R134" s="577" t="str">
        <f>IF(VLOOKUP($A134,'Pre-Assessment Estimator'!$A$10:$Z$225,R$2,FALSE)=0,"",VLOOKUP($A134,'Pre-Assessment Estimator'!$A$10:$Z$225,R$2,FALSE))</f>
        <v/>
      </c>
      <c r="S134" s="578" t="str">
        <f>IF(VLOOKUP($A134,'Pre-Assessment Estimator'!$A$10:$Z$225,S$2,FALSE)=0,"",VLOOKUP($A134,'Pre-Assessment Estimator'!$A$10:$Z$225,S$2,FALSE))</f>
        <v/>
      </c>
      <c r="T134" s="581"/>
      <c r="U134" s="580" t="str">
        <f>IF(VLOOKUP($A134,'Pre-Assessment Estimator'!$A$10:$Z$225,U$2,FALSE)=0,"",VLOOKUP($A134,'Pre-Assessment Estimator'!$A$10:$Z$225,U$2,FALSE))</f>
        <v/>
      </c>
      <c r="V134" s="575">
        <f>VLOOKUP($A134,'Pre-Assessment Estimator'!$A$10:$Z$225,V$2,FALSE)</f>
        <v>0</v>
      </c>
      <c r="W134" s="574" t="str">
        <f>VLOOKUP($A134,'Pre-Assessment Estimator'!$A$10:$Z$225,W$2,FALSE)</f>
        <v>Very Good</v>
      </c>
      <c r="X134" s="577" t="str">
        <f>IF(VLOOKUP($A134,'Pre-Assessment Estimator'!$A$10:$Z$225,X$2,FALSE)=0,"",VLOOKUP($A134,'Pre-Assessment Estimator'!$A$10:$Z$225,X$2,FALSE))</f>
        <v/>
      </c>
      <c r="Y134" s="577" t="str">
        <f>IF(VLOOKUP($A134,'Pre-Assessment Estimator'!$A$10:$Z$225,Y$2,FALSE)=0,"",VLOOKUP($A134,'Pre-Assessment Estimator'!$A$10:$Z$225,Y$2,FALSE))</f>
        <v/>
      </c>
      <c r="Z134" s="370" t="str">
        <f>IF(VLOOKUP($A134,'Pre-Assessment Estimator'!$A$10:$Z$225,Z$2,FALSE)=0,"",VLOOKUP($A134,'Pre-Assessment Estimator'!$A$10:$Z$225,Z$2,FALSE))</f>
        <v/>
      </c>
      <c r="AA134" s="696">
        <v>124</v>
      </c>
      <c r="AB134" s="577"/>
      <c r="AF134" s="386">
        <f t="shared" si="2"/>
        <v>1</v>
      </c>
    </row>
    <row r="135" spans="1:32" x14ac:dyDescent="0.25">
      <c r="A135" s="823">
        <v>126</v>
      </c>
      <c r="B135" s="1236" t="s">
        <v>69</v>
      </c>
      <c r="C135" s="1236"/>
      <c r="D135" s="1259" t="str">
        <f>VLOOKUP($A135,'Pre-Assessment Estimator'!$A$10:$Z$225,D$2,FALSE)</f>
        <v>Mat 05</v>
      </c>
      <c r="E135" s="1260" t="str">
        <f>VLOOKUP($A135,'Pre-Assessment Estimator'!$A$10:$Z$225,E$2,FALSE)</f>
        <v>Construction under cover</v>
      </c>
      <c r="F135" s="574">
        <f>VLOOKUP($A135,'Pre-Assessment Estimator'!$A$10:$Z$225,F$2,FALSE)</f>
        <v>1</v>
      </c>
      <c r="G135" s="580" t="str">
        <f>IF(VLOOKUP($A135,'Pre-Assessment Estimator'!$A$10:$Z$225,G$2,FALSE)=0,"",VLOOKUP($A135,'Pre-Assessment Estimator'!$A$10:$Z$225,G$2,FALSE))</f>
        <v/>
      </c>
      <c r="H135" s="1222">
        <f>VLOOKUP($A135,'Pre-Assessment Estimator'!$A$10:$Z$225,H$2,FALSE)</f>
        <v>0</v>
      </c>
      <c r="I135" s="576" t="str">
        <f>VLOOKUP($A135,'Pre-Assessment Estimator'!$A$10:$Z$225,I$2,FALSE)</f>
        <v>N/A</v>
      </c>
      <c r="J135" s="577" t="str">
        <f>IF(VLOOKUP($A135,'Pre-Assessment Estimator'!$A$10:$Z$225,J$2,FALSE)=0,"",VLOOKUP($A135,'Pre-Assessment Estimator'!$A$10:$Z$225,J$2,FALSE))</f>
        <v/>
      </c>
      <c r="K135" s="577" t="str">
        <f>IF(VLOOKUP($A135,'Pre-Assessment Estimator'!$A$10:$Z$225,K$2,FALSE)=0,"",VLOOKUP($A135,'Pre-Assessment Estimator'!$A$10:$Z$225,K$2,FALSE))</f>
        <v/>
      </c>
      <c r="L135" s="578" t="str">
        <f>IF(VLOOKUP($A135,'Pre-Assessment Estimator'!$A$10:$Z$225,L$2,FALSE)=0,"",VLOOKUP($A135,'Pre-Assessment Estimator'!$A$10:$Z$225,L$2,FALSE))</f>
        <v/>
      </c>
      <c r="M135" s="579"/>
      <c r="N135" s="580" t="str">
        <f>IF(VLOOKUP($A135,'Pre-Assessment Estimator'!$A$10:$Z$225,N$2,FALSE)=0,"",VLOOKUP($A135,'Pre-Assessment Estimator'!$A$10:$Z$225,N$2,FALSE))</f>
        <v/>
      </c>
      <c r="O135" s="575">
        <f>VLOOKUP($A135,'Pre-Assessment Estimator'!$A$10:$Z$225,O$2,FALSE)</f>
        <v>0</v>
      </c>
      <c r="P135" s="574" t="str">
        <f>VLOOKUP($A135,'Pre-Assessment Estimator'!$A$10:$Z$225,P$2,FALSE)</f>
        <v>N/A</v>
      </c>
      <c r="Q135" s="577" t="str">
        <f>IF(VLOOKUP($A135,'Pre-Assessment Estimator'!$A$10:$Z$225,Q$2,FALSE)=0,"",VLOOKUP($A135,'Pre-Assessment Estimator'!$A$10:$Z$225,Q$2,FALSE))</f>
        <v/>
      </c>
      <c r="R135" s="577" t="str">
        <f>IF(VLOOKUP($A135,'Pre-Assessment Estimator'!$A$10:$Z$225,R$2,FALSE)=0,"",VLOOKUP($A135,'Pre-Assessment Estimator'!$A$10:$Z$225,R$2,FALSE))</f>
        <v/>
      </c>
      <c r="S135" s="578" t="str">
        <f>IF(VLOOKUP($A135,'Pre-Assessment Estimator'!$A$10:$Z$225,S$2,FALSE)=0,"",VLOOKUP($A135,'Pre-Assessment Estimator'!$A$10:$Z$225,S$2,FALSE))</f>
        <v/>
      </c>
      <c r="T135" s="581"/>
      <c r="U135" s="580" t="str">
        <f>IF(VLOOKUP($A135,'Pre-Assessment Estimator'!$A$10:$Z$225,U$2,FALSE)=0,"",VLOOKUP($A135,'Pre-Assessment Estimator'!$A$10:$Z$225,U$2,FALSE))</f>
        <v/>
      </c>
      <c r="V135" s="575">
        <f>VLOOKUP($A135,'Pre-Assessment Estimator'!$A$10:$Z$225,V$2,FALSE)</f>
        <v>0</v>
      </c>
      <c r="W135" s="574" t="str">
        <f>VLOOKUP($A135,'Pre-Assessment Estimator'!$A$10:$Z$225,W$2,FALSE)</f>
        <v>N/A</v>
      </c>
      <c r="X135" s="577" t="str">
        <f>IF(VLOOKUP($A135,'Pre-Assessment Estimator'!$A$10:$Z$225,X$2,FALSE)=0,"",VLOOKUP($A135,'Pre-Assessment Estimator'!$A$10:$Z$225,X$2,FALSE))</f>
        <v/>
      </c>
      <c r="Y135" s="577" t="str">
        <f>IF(VLOOKUP($A135,'Pre-Assessment Estimator'!$A$10:$Z$225,Y$2,FALSE)=0,"",VLOOKUP($A135,'Pre-Assessment Estimator'!$A$10:$Z$225,Y$2,FALSE))</f>
        <v/>
      </c>
      <c r="Z135" s="370" t="str">
        <f>IF(VLOOKUP($A135,'Pre-Assessment Estimator'!$A$10:$Z$225,Z$2,FALSE)=0,"",VLOOKUP($A135,'Pre-Assessment Estimator'!$A$10:$Z$225,Z$2,FALSE))</f>
        <v/>
      </c>
      <c r="AA135" s="696">
        <v>125</v>
      </c>
      <c r="AB135" s="577"/>
      <c r="AF135" s="386">
        <f t="shared" si="2"/>
        <v>1</v>
      </c>
    </row>
    <row r="136" spans="1:32" x14ac:dyDescent="0.25">
      <c r="A136" s="823">
        <v>127</v>
      </c>
      <c r="B136" s="1236" t="s">
        <v>69</v>
      </c>
      <c r="C136" s="1236"/>
      <c r="D136" s="1258" t="str">
        <f>VLOOKUP($A136,'Pre-Assessment Estimator'!$A$10:$Z$225,D$2,FALSE)</f>
        <v>Mat 06</v>
      </c>
      <c r="E136" s="1258" t="str">
        <f>VLOOKUP($A136,'Pre-Assessment Estimator'!$A$10:$Z$225,E$2,FALSE)</f>
        <v>Mat 06 Material efficiency</v>
      </c>
      <c r="F136" s="574">
        <f>VLOOKUP($A136,'Pre-Assessment Estimator'!$A$10:$Z$225,F$2,FALSE)</f>
        <v>3</v>
      </c>
      <c r="G136" s="580" t="str">
        <f>IF(VLOOKUP($A136,'Pre-Assessment Estimator'!$A$10:$Z$225,G$2,FALSE)=0,"",VLOOKUP($A136,'Pre-Assessment Estimator'!$A$10:$Z$225,G$2,FALSE))</f>
        <v/>
      </c>
      <c r="H136" s="1222" t="str">
        <f>VLOOKUP($A136,'Pre-Assessment Estimator'!$A$10:$Z$225,H$2,FALSE)</f>
        <v>0 c. 0 %</v>
      </c>
      <c r="I136" s="576" t="str">
        <f>VLOOKUP($A136,'Pre-Assessment Estimator'!$A$10:$Z$225,I$2,FALSE)</f>
        <v>N/A</v>
      </c>
      <c r="J136" s="577" t="str">
        <f>IF(VLOOKUP($A136,'Pre-Assessment Estimator'!$A$10:$Z$225,J$2,FALSE)=0,"",VLOOKUP($A136,'Pre-Assessment Estimator'!$A$10:$Z$225,J$2,FALSE))</f>
        <v/>
      </c>
      <c r="K136" s="577" t="str">
        <f>IF(VLOOKUP($A136,'Pre-Assessment Estimator'!$A$10:$Z$225,K$2,FALSE)=0,"",VLOOKUP($A136,'Pre-Assessment Estimator'!$A$10:$Z$225,K$2,FALSE))</f>
        <v/>
      </c>
      <c r="L136" s="578" t="str">
        <f>IF(VLOOKUP($A136,'Pre-Assessment Estimator'!$A$10:$Z$225,L$2,FALSE)=0,"",VLOOKUP($A136,'Pre-Assessment Estimator'!$A$10:$Z$225,L$2,FALSE))</f>
        <v/>
      </c>
      <c r="M136" s="579"/>
      <c r="N136" s="580" t="str">
        <f>IF(VLOOKUP($A136,'Pre-Assessment Estimator'!$A$10:$Z$225,N$2,FALSE)=0,"",VLOOKUP($A136,'Pre-Assessment Estimator'!$A$10:$Z$225,N$2,FALSE))</f>
        <v/>
      </c>
      <c r="O136" s="575" t="str">
        <f>VLOOKUP($A136,'Pre-Assessment Estimator'!$A$10:$Z$225,O$2,FALSE)</f>
        <v>0 c. 0 %</v>
      </c>
      <c r="P136" s="574" t="str">
        <f>VLOOKUP($A136,'Pre-Assessment Estimator'!$A$10:$Z$225,P$2,FALSE)</f>
        <v>N/A</v>
      </c>
      <c r="Q136" s="577" t="str">
        <f>IF(VLOOKUP($A136,'Pre-Assessment Estimator'!$A$10:$Z$225,Q$2,FALSE)=0,"",VLOOKUP($A136,'Pre-Assessment Estimator'!$A$10:$Z$225,Q$2,FALSE))</f>
        <v/>
      </c>
      <c r="R136" s="577" t="str">
        <f>IF(VLOOKUP($A136,'Pre-Assessment Estimator'!$A$10:$Z$225,R$2,FALSE)=0,"",VLOOKUP($A136,'Pre-Assessment Estimator'!$A$10:$Z$225,R$2,FALSE))</f>
        <v/>
      </c>
      <c r="S136" s="578" t="str">
        <f>IF(VLOOKUP($A136,'Pre-Assessment Estimator'!$A$10:$Z$225,S$2,FALSE)=0,"",VLOOKUP($A136,'Pre-Assessment Estimator'!$A$10:$Z$225,S$2,FALSE))</f>
        <v/>
      </c>
      <c r="T136" s="581"/>
      <c r="U136" s="580" t="str">
        <f>IF(VLOOKUP($A136,'Pre-Assessment Estimator'!$A$10:$Z$225,U$2,FALSE)=0,"",VLOOKUP($A136,'Pre-Assessment Estimator'!$A$10:$Z$225,U$2,FALSE))</f>
        <v/>
      </c>
      <c r="V136" s="575" t="str">
        <f>VLOOKUP($A136,'Pre-Assessment Estimator'!$A$10:$Z$225,V$2,FALSE)</f>
        <v>0 c. 0 %</v>
      </c>
      <c r="W136" s="574" t="str">
        <f>VLOOKUP($A136,'Pre-Assessment Estimator'!$A$10:$Z$225,W$2,FALSE)</f>
        <v>N/A</v>
      </c>
      <c r="X136" s="577" t="str">
        <f>IF(VLOOKUP($A136,'Pre-Assessment Estimator'!$A$10:$Z$225,X$2,FALSE)=0,"",VLOOKUP($A136,'Pre-Assessment Estimator'!$A$10:$Z$225,X$2,FALSE))</f>
        <v/>
      </c>
      <c r="Y136" s="577" t="str">
        <f>IF(VLOOKUP($A136,'Pre-Assessment Estimator'!$A$10:$Z$225,Y$2,FALSE)=0,"",VLOOKUP($A136,'Pre-Assessment Estimator'!$A$10:$Z$225,Y$2,FALSE))</f>
        <v/>
      </c>
      <c r="Z136" s="370" t="str">
        <f>IF(VLOOKUP($A136,'Pre-Assessment Estimator'!$A$10:$Z$225,Z$2,FALSE)=0,"",VLOOKUP($A136,'Pre-Assessment Estimator'!$A$10:$Z$225,Z$2,FALSE))</f>
        <v/>
      </c>
      <c r="AA136" s="696">
        <v>126</v>
      </c>
      <c r="AB136" s="577"/>
      <c r="AF136" s="386">
        <f t="shared" si="2"/>
        <v>1</v>
      </c>
    </row>
    <row r="137" spans="1:32" x14ac:dyDescent="0.25">
      <c r="A137" s="823">
        <v>128</v>
      </c>
      <c r="B137" s="1236" t="s">
        <v>69</v>
      </c>
      <c r="C137" s="1236"/>
      <c r="D137" s="1259" t="str">
        <f>VLOOKUP($A137,'Pre-Assessment Estimator'!$A$10:$Z$225,D$2,FALSE)</f>
        <v>Mat 06</v>
      </c>
      <c r="E137" s="1260" t="str">
        <f>VLOOKUP($A137,'Pre-Assessment Estimator'!$A$10:$Z$225,E$2,FALSE)</f>
        <v>Minimum req: mapping for component reuse - criterion 1</v>
      </c>
      <c r="F137" s="574" t="str">
        <f>VLOOKUP($A137,'Pre-Assessment Estimator'!$A$10:$Z$225,F$2,FALSE)</f>
        <v>Yes/No</v>
      </c>
      <c r="G137" s="580" t="str">
        <f>IF(VLOOKUP($A137,'Pre-Assessment Estimator'!$A$10:$Z$225,G$2,FALSE)=0,"",VLOOKUP($A137,'Pre-Assessment Estimator'!$A$10:$Z$225,G$2,FALSE))</f>
        <v/>
      </c>
      <c r="H137" s="1222" t="str">
        <f>VLOOKUP($A137,'Pre-Assessment Estimator'!$A$10:$Z$225,H$2,FALSE)</f>
        <v>-</v>
      </c>
      <c r="I137" s="576" t="str">
        <f>VLOOKUP($A137,'Pre-Assessment Estimator'!$A$10:$Z$225,I$2,FALSE)</f>
        <v>Unclassified</v>
      </c>
      <c r="J137" s="577" t="str">
        <f>IF(VLOOKUP($A137,'Pre-Assessment Estimator'!$A$10:$Z$225,J$2,FALSE)=0,"",VLOOKUP($A137,'Pre-Assessment Estimator'!$A$10:$Z$225,J$2,FALSE))</f>
        <v/>
      </c>
      <c r="K137" s="577" t="str">
        <f>IF(VLOOKUP($A137,'Pre-Assessment Estimator'!$A$10:$Z$225,K$2,FALSE)=0,"",VLOOKUP($A137,'Pre-Assessment Estimator'!$A$10:$Z$225,K$2,FALSE))</f>
        <v/>
      </c>
      <c r="L137" s="578" t="str">
        <f>IF(VLOOKUP($A137,'Pre-Assessment Estimator'!$A$10:$Z$225,L$2,FALSE)=0,"",VLOOKUP($A137,'Pre-Assessment Estimator'!$A$10:$Z$225,L$2,FALSE))</f>
        <v/>
      </c>
      <c r="M137" s="579"/>
      <c r="N137" s="580" t="str">
        <f>IF(VLOOKUP($A137,'Pre-Assessment Estimator'!$A$10:$Z$225,N$2,FALSE)=0,"",VLOOKUP($A137,'Pre-Assessment Estimator'!$A$10:$Z$225,N$2,FALSE))</f>
        <v/>
      </c>
      <c r="O137" s="575" t="str">
        <f>VLOOKUP($A137,'Pre-Assessment Estimator'!$A$10:$Z$225,O$2,FALSE)</f>
        <v>-</v>
      </c>
      <c r="P137" s="574" t="str">
        <f>VLOOKUP($A137,'Pre-Assessment Estimator'!$A$10:$Z$225,P$2,FALSE)</f>
        <v>Unclassified</v>
      </c>
      <c r="Q137" s="577" t="str">
        <f>IF(VLOOKUP($A137,'Pre-Assessment Estimator'!$A$10:$Z$225,Q$2,FALSE)=0,"",VLOOKUP($A137,'Pre-Assessment Estimator'!$A$10:$Z$225,Q$2,FALSE))</f>
        <v/>
      </c>
      <c r="R137" s="577" t="str">
        <f>IF(VLOOKUP($A137,'Pre-Assessment Estimator'!$A$10:$Z$225,R$2,FALSE)=0,"",VLOOKUP($A137,'Pre-Assessment Estimator'!$A$10:$Z$225,R$2,FALSE))</f>
        <v/>
      </c>
      <c r="S137" s="578" t="str">
        <f>IF(VLOOKUP($A137,'Pre-Assessment Estimator'!$A$10:$Z$225,S$2,FALSE)=0,"",VLOOKUP($A137,'Pre-Assessment Estimator'!$A$10:$Z$225,S$2,FALSE))</f>
        <v/>
      </c>
      <c r="T137" s="581"/>
      <c r="U137" s="580" t="str">
        <f>IF(VLOOKUP($A137,'Pre-Assessment Estimator'!$A$10:$Z$225,U$2,FALSE)=0,"",VLOOKUP($A137,'Pre-Assessment Estimator'!$A$10:$Z$225,U$2,FALSE))</f>
        <v/>
      </c>
      <c r="V137" s="575" t="str">
        <f>VLOOKUP($A137,'Pre-Assessment Estimator'!$A$10:$Z$225,V$2,FALSE)</f>
        <v>-</v>
      </c>
      <c r="W137" s="574" t="str">
        <f>VLOOKUP($A137,'Pre-Assessment Estimator'!$A$10:$Z$225,W$2,FALSE)</f>
        <v>Unclassified</v>
      </c>
      <c r="X137" s="577" t="str">
        <f>IF(VLOOKUP($A137,'Pre-Assessment Estimator'!$A$10:$Z$225,X$2,FALSE)=0,"",VLOOKUP($A137,'Pre-Assessment Estimator'!$A$10:$Z$225,X$2,FALSE))</f>
        <v/>
      </c>
      <c r="Y137" s="577" t="str">
        <f>IF(VLOOKUP($A137,'Pre-Assessment Estimator'!$A$10:$Z$225,Y$2,FALSE)=0,"",VLOOKUP($A137,'Pre-Assessment Estimator'!$A$10:$Z$225,Y$2,FALSE))</f>
        <v/>
      </c>
      <c r="Z137" s="370" t="str">
        <f>IF(VLOOKUP($A137,'Pre-Assessment Estimator'!$A$10:$Z$225,Z$2,FALSE)=0,"",VLOOKUP($A137,'Pre-Assessment Estimator'!$A$10:$Z$225,Z$2,FALSE))</f>
        <v/>
      </c>
      <c r="AA137" s="696">
        <v>127</v>
      </c>
      <c r="AB137" s="577"/>
      <c r="AF137" s="386">
        <f t="shared" si="2"/>
        <v>1</v>
      </c>
    </row>
    <row r="138" spans="1:32" ht="30" x14ac:dyDescent="0.25">
      <c r="A138" s="823">
        <v>129</v>
      </c>
      <c r="B138" s="1236" t="s">
        <v>69</v>
      </c>
      <c r="C138" s="1236"/>
      <c r="D138" s="1259" t="str">
        <f>VLOOKUP($A138,'Pre-Assessment Estimator'!$A$10:$Z$225,D$2,FALSE)</f>
        <v>Mat 06</v>
      </c>
      <c r="E138" s="1260" t="str">
        <f>VLOOKUP($A138,'Pre-Assessment Estimator'!$A$10:$Z$225,E$2,FALSE)</f>
        <v>Mapping for component reuse and implementation (EU taxonomy requirement: criterion 1-3)</v>
      </c>
      <c r="F138" s="574">
        <f>VLOOKUP($A138,'Pre-Assessment Estimator'!$A$10:$Z$225,F$2,FALSE)</f>
        <v>1</v>
      </c>
      <c r="G138" s="580" t="str">
        <f>IF(VLOOKUP($A138,'Pre-Assessment Estimator'!$A$10:$Z$225,G$2,FALSE)=0,"",VLOOKUP($A138,'Pre-Assessment Estimator'!$A$10:$Z$225,G$2,FALSE))</f>
        <v/>
      </c>
      <c r="H138" s="1222">
        <f>VLOOKUP($A138,'Pre-Assessment Estimator'!$A$10:$Z$225,H$2,FALSE)</f>
        <v>0</v>
      </c>
      <c r="I138" s="576" t="str">
        <f>VLOOKUP($A138,'Pre-Assessment Estimator'!$A$10:$Z$225,I$2,FALSE)</f>
        <v>Unclassified</v>
      </c>
      <c r="J138" s="577" t="str">
        <f>IF(VLOOKUP($A138,'Pre-Assessment Estimator'!$A$10:$Z$225,J$2,FALSE)=0,"",VLOOKUP($A138,'Pre-Assessment Estimator'!$A$10:$Z$225,J$2,FALSE))</f>
        <v/>
      </c>
      <c r="K138" s="577" t="str">
        <f>IF(VLOOKUP($A138,'Pre-Assessment Estimator'!$A$10:$Z$225,K$2,FALSE)=0,"",VLOOKUP($A138,'Pre-Assessment Estimator'!$A$10:$Z$225,K$2,FALSE))</f>
        <v/>
      </c>
      <c r="L138" s="578" t="str">
        <f>IF(VLOOKUP($A138,'Pre-Assessment Estimator'!$A$10:$Z$225,L$2,FALSE)=0,"",VLOOKUP($A138,'Pre-Assessment Estimator'!$A$10:$Z$225,L$2,FALSE))</f>
        <v/>
      </c>
      <c r="M138" s="579"/>
      <c r="N138" s="580" t="str">
        <f>IF(VLOOKUP($A138,'Pre-Assessment Estimator'!$A$10:$Z$225,N$2,FALSE)=0,"",VLOOKUP($A138,'Pre-Assessment Estimator'!$A$10:$Z$225,N$2,FALSE))</f>
        <v/>
      </c>
      <c r="O138" s="575">
        <f>VLOOKUP($A138,'Pre-Assessment Estimator'!$A$10:$Z$225,O$2,FALSE)</f>
        <v>0</v>
      </c>
      <c r="P138" s="574" t="str">
        <f>VLOOKUP($A138,'Pre-Assessment Estimator'!$A$10:$Z$225,P$2,FALSE)</f>
        <v>Unclassified</v>
      </c>
      <c r="Q138" s="577" t="str">
        <f>IF(VLOOKUP($A138,'Pre-Assessment Estimator'!$A$10:$Z$225,Q$2,FALSE)=0,"",VLOOKUP($A138,'Pre-Assessment Estimator'!$A$10:$Z$225,Q$2,FALSE))</f>
        <v/>
      </c>
      <c r="R138" s="577" t="str">
        <f>IF(VLOOKUP($A138,'Pre-Assessment Estimator'!$A$10:$Z$225,R$2,FALSE)=0,"",VLOOKUP($A138,'Pre-Assessment Estimator'!$A$10:$Z$225,R$2,FALSE))</f>
        <v/>
      </c>
      <c r="S138" s="578" t="str">
        <f>IF(VLOOKUP($A138,'Pre-Assessment Estimator'!$A$10:$Z$225,S$2,FALSE)=0,"",VLOOKUP($A138,'Pre-Assessment Estimator'!$A$10:$Z$225,S$2,FALSE))</f>
        <v/>
      </c>
      <c r="T138" s="581"/>
      <c r="U138" s="580" t="str">
        <f>IF(VLOOKUP($A138,'Pre-Assessment Estimator'!$A$10:$Z$225,U$2,FALSE)=0,"",VLOOKUP($A138,'Pre-Assessment Estimator'!$A$10:$Z$225,U$2,FALSE))</f>
        <v/>
      </c>
      <c r="V138" s="575">
        <f>VLOOKUP($A138,'Pre-Assessment Estimator'!$A$10:$Z$225,V$2,FALSE)</f>
        <v>0</v>
      </c>
      <c r="W138" s="574" t="str">
        <f>VLOOKUP($A138,'Pre-Assessment Estimator'!$A$10:$Z$225,W$2,FALSE)</f>
        <v>Unclassified</v>
      </c>
      <c r="X138" s="577" t="str">
        <f>IF(VLOOKUP($A138,'Pre-Assessment Estimator'!$A$10:$Z$225,X$2,FALSE)=0,"",VLOOKUP($A138,'Pre-Assessment Estimator'!$A$10:$Z$225,X$2,FALSE))</f>
        <v/>
      </c>
      <c r="Y138" s="577" t="str">
        <f>IF(VLOOKUP($A138,'Pre-Assessment Estimator'!$A$10:$Z$225,Y$2,FALSE)=0,"",VLOOKUP($A138,'Pre-Assessment Estimator'!$A$10:$Z$225,Y$2,FALSE))</f>
        <v/>
      </c>
      <c r="Z138" s="370" t="str">
        <f>IF(VLOOKUP($A138,'Pre-Assessment Estimator'!$A$10:$Z$225,Z$2,FALSE)=0,"",VLOOKUP($A138,'Pre-Assessment Estimator'!$A$10:$Z$225,Z$2,FALSE))</f>
        <v/>
      </c>
      <c r="AA138" s="696">
        <v>128</v>
      </c>
      <c r="AB138" s="577"/>
      <c r="AF138" s="386">
        <f t="shared" si="2"/>
        <v>1</v>
      </c>
    </row>
    <row r="139" spans="1:32" x14ac:dyDescent="0.25">
      <c r="A139" s="823">
        <v>130</v>
      </c>
      <c r="B139" s="1236" t="s">
        <v>69</v>
      </c>
      <c r="C139" s="1236"/>
      <c r="D139" s="1259" t="str">
        <f>VLOOKUP($A139,'Pre-Assessment Estimator'!$A$10:$Z$225,D$2,FALSE)</f>
        <v>Mat 06</v>
      </c>
      <c r="E139" s="1260" t="str">
        <f>VLOOKUP($A139,'Pre-Assessment Estimator'!$A$10:$Z$225,E$2,FALSE)</f>
        <v>Material efficency</v>
      </c>
      <c r="F139" s="574">
        <f>VLOOKUP($A139,'Pre-Assessment Estimator'!$A$10:$Z$225,F$2,FALSE)</f>
        <v>1</v>
      </c>
      <c r="G139" s="580" t="str">
        <f>IF(VLOOKUP($A139,'Pre-Assessment Estimator'!$A$10:$Z$225,G$2,FALSE)=0,"",VLOOKUP($A139,'Pre-Assessment Estimator'!$A$10:$Z$225,G$2,FALSE))</f>
        <v/>
      </c>
      <c r="H139" s="1222">
        <f>VLOOKUP($A139,'Pre-Assessment Estimator'!$A$10:$Z$225,H$2,FALSE)</f>
        <v>0</v>
      </c>
      <c r="I139" s="576" t="str">
        <f>VLOOKUP($A139,'Pre-Assessment Estimator'!$A$10:$Z$225,I$2,FALSE)</f>
        <v>N/A</v>
      </c>
      <c r="J139" s="577" t="str">
        <f>IF(VLOOKUP($A139,'Pre-Assessment Estimator'!$A$10:$Z$225,J$2,FALSE)=0,"",VLOOKUP($A139,'Pre-Assessment Estimator'!$A$10:$Z$225,J$2,FALSE))</f>
        <v/>
      </c>
      <c r="K139" s="577" t="str">
        <f>IF(VLOOKUP($A139,'Pre-Assessment Estimator'!$A$10:$Z$225,K$2,FALSE)=0,"",VLOOKUP($A139,'Pre-Assessment Estimator'!$A$10:$Z$225,K$2,FALSE))</f>
        <v/>
      </c>
      <c r="L139" s="578" t="str">
        <f>IF(VLOOKUP($A139,'Pre-Assessment Estimator'!$A$10:$Z$225,L$2,FALSE)=0,"",VLOOKUP($A139,'Pre-Assessment Estimator'!$A$10:$Z$225,L$2,FALSE))</f>
        <v/>
      </c>
      <c r="M139" s="579"/>
      <c r="N139" s="580" t="str">
        <f>IF(VLOOKUP($A139,'Pre-Assessment Estimator'!$A$10:$Z$225,N$2,FALSE)=0,"",VLOOKUP($A139,'Pre-Assessment Estimator'!$A$10:$Z$225,N$2,FALSE))</f>
        <v/>
      </c>
      <c r="O139" s="575">
        <f>VLOOKUP($A139,'Pre-Assessment Estimator'!$A$10:$Z$225,O$2,FALSE)</f>
        <v>0</v>
      </c>
      <c r="P139" s="574" t="str">
        <f>VLOOKUP($A139,'Pre-Assessment Estimator'!$A$10:$Z$225,P$2,FALSE)</f>
        <v>N/A</v>
      </c>
      <c r="Q139" s="577" t="str">
        <f>IF(VLOOKUP($A139,'Pre-Assessment Estimator'!$A$10:$Z$225,Q$2,FALSE)=0,"",VLOOKUP($A139,'Pre-Assessment Estimator'!$A$10:$Z$225,Q$2,FALSE))</f>
        <v/>
      </c>
      <c r="R139" s="577" t="str">
        <f>IF(VLOOKUP($A139,'Pre-Assessment Estimator'!$A$10:$Z$225,R$2,FALSE)=0,"",VLOOKUP($A139,'Pre-Assessment Estimator'!$A$10:$Z$225,R$2,FALSE))</f>
        <v/>
      </c>
      <c r="S139" s="578" t="str">
        <f>IF(VLOOKUP($A139,'Pre-Assessment Estimator'!$A$10:$Z$225,S$2,FALSE)=0,"",VLOOKUP($A139,'Pre-Assessment Estimator'!$A$10:$Z$225,S$2,FALSE))</f>
        <v/>
      </c>
      <c r="T139" s="581"/>
      <c r="U139" s="580" t="str">
        <f>IF(VLOOKUP($A139,'Pre-Assessment Estimator'!$A$10:$Z$225,U$2,FALSE)=0,"",VLOOKUP($A139,'Pre-Assessment Estimator'!$A$10:$Z$225,U$2,FALSE))</f>
        <v/>
      </c>
      <c r="V139" s="575">
        <f>VLOOKUP($A139,'Pre-Assessment Estimator'!$A$10:$Z$225,V$2,FALSE)</f>
        <v>0</v>
      </c>
      <c r="W139" s="574" t="str">
        <f>VLOOKUP($A139,'Pre-Assessment Estimator'!$A$10:$Z$225,W$2,FALSE)</f>
        <v>N/A</v>
      </c>
      <c r="X139" s="577" t="str">
        <f>IF(VLOOKUP($A139,'Pre-Assessment Estimator'!$A$10:$Z$225,X$2,FALSE)=0,"",VLOOKUP($A139,'Pre-Assessment Estimator'!$A$10:$Z$225,X$2,FALSE))</f>
        <v/>
      </c>
      <c r="Y139" s="577" t="str">
        <f>IF(VLOOKUP($A139,'Pre-Assessment Estimator'!$A$10:$Z$225,Y$2,FALSE)=0,"",VLOOKUP($A139,'Pre-Assessment Estimator'!$A$10:$Z$225,Y$2,FALSE))</f>
        <v/>
      </c>
      <c r="Z139" s="370" t="str">
        <f>IF(VLOOKUP($A139,'Pre-Assessment Estimator'!$A$10:$Z$225,Z$2,FALSE)=0,"",VLOOKUP($A139,'Pre-Assessment Estimator'!$A$10:$Z$225,Z$2,FALSE))</f>
        <v/>
      </c>
      <c r="AA139" s="696">
        <v>129</v>
      </c>
      <c r="AB139" s="577" t="str">
        <f>IF(VLOOKUP($A139,'Pre-Assessment Estimator'!$A$10:$AB$225,AB$2,FALSE)=0,"",VLOOKUP($A139,'Pre-Assessment Estimator'!$A$10:$AB$225,AB$2,FALSE))</f>
        <v/>
      </c>
      <c r="AF139" s="386">
        <f t="shared" si="2"/>
        <v>1</v>
      </c>
    </row>
    <row r="140" spans="1:32" x14ac:dyDescent="0.25">
      <c r="A140" s="823">
        <v>131</v>
      </c>
      <c r="B140" s="1236" t="s">
        <v>69</v>
      </c>
      <c r="C140" s="1236"/>
      <c r="D140" s="1259" t="str">
        <f>VLOOKUP($A140,'Pre-Assessment Estimator'!$A$10:$Z$225,D$2,FALSE)</f>
        <v>Mat 06</v>
      </c>
      <c r="E140" s="1260" t="str">
        <f>VLOOKUP($A140,'Pre-Assessment Estimator'!$A$10:$Z$225,E$2,FALSE)</f>
        <v>Reuse of extern building components</v>
      </c>
      <c r="F140" s="574">
        <f>VLOOKUP($A140,'Pre-Assessment Estimator'!$A$10:$Z$225,F$2,FALSE)</f>
        <v>1</v>
      </c>
      <c r="G140" s="580" t="str">
        <f>IF(VLOOKUP($A140,'Pre-Assessment Estimator'!$A$10:$Z$225,G$2,FALSE)=0,"",VLOOKUP($A140,'Pre-Assessment Estimator'!$A$10:$Z$225,G$2,FALSE))</f>
        <v/>
      </c>
      <c r="H140" s="1222">
        <f>VLOOKUP($A140,'Pre-Assessment Estimator'!$A$10:$Z$225,H$2,FALSE)</f>
        <v>0</v>
      </c>
      <c r="I140" s="576" t="str">
        <f>VLOOKUP($A140,'Pre-Assessment Estimator'!$A$10:$Z$225,I$2,FALSE)</f>
        <v>N/A</v>
      </c>
      <c r="J140" s="577" t="str">
        <f>IF(VLOOKUP($A140,'Pre-Assessment Estimator'!$A$10:$Z$225,J$2,FALSE)=0,"",VLOOKUP($A140,'Pre-Assessment Estimator'!$A$10:$Z$225,J$2,FALSE))</f>
        <v/>
      </c>
      <c r="K140" s="577" t="str">
        <f>IF(VLOOKUP($A140,'Pre-Assessment Estimator'!$A$10:$Z$225,K$2,FALSE)=0,"",VLOOKUP($A140,'Pre-Assessment Estimator'!$A$10:$Z$225,K$2,FALSE))</f>
        <v/>
      </c>
      <c r="L140" s="578" t="str">
        <f>IF(VLOOKUP($A140,'Pre-Assessment Estimator'!$A$10:$Z$225,L$2,FALSE)=0,"",VLOOKUP($A140,'Pre-Assessment Estimator'!$A$10:$Z$225,L$2,FALSE))</f>
        <v/>
      </c>
      <c r="M140" s="579"/>
      <c r="N140" s="580" t="str">
        <f>IF(VLOOKUP($A140,'Pre-Assessment Estimator'!$A$10:$Z$225,N$2,FALSE)=0,"",VLOOKUP($A140,'Pre-Assessment Estimator'!$A$10:$Z$225,N$2,FALSE))</f>
        <v/>
      </c>
      <c r="O140" s="575">
        <f>VLOOKUP($A140,'Pre-Assessment Estimator'!$A$10:$Z$225,O$2,FALSE)</f>
        <v>0</v>
      </c>
      <c r="P140" s="574" t="str">
        <f>VLOOKUP($A140,'Pre-Assessment Estimator'!$A$10:$Z$225,P$2,FALSE)</f>
        <v>N/A</v>
      </c>
      <c r="Q140" s="577" t="str">
        <f>IF(VLOOKUP($A140,'Pre-Assessment Estimator'!$A$10:$Z$225,Q$2,FALSE)=0,"",VLOOKUP($A140,'Pre-Assessment Estimator'!$A$10:$Z$225,Q$2,FALSE))</f>
        <v/>
      </c>
      <c r="R140" s="577" t="str">
        <f>IF(VLOOKUP($A140,'Pre-Assessment Estimator'!$A$10:$Z$225,R$2,FALSE)=0,"",VLOOKUP($A140,'Pre-Assessment Estimator'!$A$10:$Z$225,R$2,FALSE))</f>
        <v/>
      </c>
      <c r="S140" s="578" t="str">
        <f>IF(VLOOKUP($A140,'Pre-Assessment Estimator'!$A$10:$Z$225,S$2,FALSE)=0,"",VLOOKUP($A140,'Pre-Assessment Estimator'!$A$10:$Z$225,S$2,FALSE))</f>
        <v/>
      </c>
      <c r="T140" s="581"/>
      <c r="U140" s="580" t="str">
        <f>IF(VLOOKUP($A140,'Pre-Assessment Estimator'!$A$10:$Z$225,U$2,FALSE)=0,"",VLOOKUP($A140,'Pre-Assessment Estimator'!$A$10:$Z$225,U$2,FALSE))</f>
        <v/>
      </c>
      <c r="V140" s="575">
        <f>VLOOKUP($A140,'Pre-Assessment Estimator'!$A$10:$Z$225,V$2,FALSE)</f>
        <v>0</v>
      </c>
      <c r="W140" s="574" t="str">
        <f>VLOOKUP($A140,'Pre-Assessment Estimator'!$A$10:$Z$225,W$2,FALSE)</f>
        <v>N/A</v>
      </c>
      <c r="X140" s="577" t="str">
        <f>IF(VLOOKUP($A140,'Pre-Assessment Estimator'!$A$10:$Z$225,X$2,FALSE)=0,"",VLOOKUP($A140,'Pre-Assessment Estimator'!$A$10:$Z$225,X$2,FALSE))</f>
        <v/>
      </c>
      <c r="Y140" s="577" t="str">
        <f>IF(VLOOKUP($A140,'Pre-Assessment Estimator'!$A$10:$Z$225,Y$2,FALSE)=0,"",VLOOKUP($A140,'Pre-Assessment Estimator'!$A$10:$Z$225,Y$2,FALSE))</f>
        <v/>
      </c>
      <c r="Z140" s="370" t="str">
        <f>IF(VLOOKUP($A140,'Pre-Assessment Estimator'!$A$10:$Z$225,Z$2,FALSE)=0,"",VLOOKUP($A140,'Pre-Assessment Estimator'!$A$10:$Z$225,Z$2,FALSE))</f>
        <v/>
      </c>
      <c r="AA140" s="696">
        <v>130</v>
      </c>
      <c r="AB140" s="577" t="str">
        <f>IF(VLOOKUP($A140,'Pre-Assessment Estimator'!$A$10:$AB$225,AB$2,FALSE)=0,"",VLOOKUP($A140,'Pre-Assessment Estimator'!$A$10:$AB$225,AB$2,FALSE))</f>
        <v/>
      </c>
      <c r="AF140" s="386">
        <f t="shared" si="2"/>
        <v>1</v>
      </c>
    </row>
    <row r="141" spans="1:32" x14ac:dyDescent="0.25">
      <c r="A141" s="823">
        <v>132</v>
      </c>
      <c r="B141" s="1236" t="s">
        <v>69</v>
      </c>
      <c r="C141" s="1236"/>
      <c r="D141" s="1258" t="str">
        <f>VLOOKUP($A141,'Pre-Assessment Estimator'!$A$10:$Z$225,D$2,FALSE)</f>
        <v>Mat 07</v>
      </c>
      <c r="E141" s="1258" t="str">
        <f>VLOOKUP($A141,'Pre-Assessment Estimator'!$A$10:$Z$225,E$2,FALSE)</f>
        <v>Mat 07 Design for disassembly and adaptability</v>
      </c>
      <c r="F141" s="574">
        <f>VLOOKUP($A141,'Pre-Assessment Estimator'!$A$10:$Z$225,F$2,FALSE)</f>
        <v>3</v>
      </c>
      <c r="G141" s="580" t="str">
        <f>IF(VLOOKUP($A141,'Pre-Assessment Estimator'!$A$10:$Z$225,G$2,FALSE)=0,"",VLOOKUP($A141,'Pre-Assessment Estimator'!$A$10:$Z$225,G$2,FALSE))</f>
        <v/>
      </c>
      <c r="H141" s="1222" t="str">
        <f>VLOOKUP($A141,'Pre-Assessment Estimator'!$A$10:$Z$225,H$2,FALSE)</f>
        <v>0 c. 0 %</v>
      </c>
      <c r="I141" s="576" t="str">
        <f>VLOOKUP($A141,'Pre-Assessment Estimator'!$A$10:$Z$225,I$2,FALSE)</f>
        <v>N/A</v>
      </c>
      <c r="J141" s="577" t="str">
        <f>IF(VLOOKUP($A141,'Pre-Assessment Estimator'!$A$10:$Z$225,J$2,FALSE)=0,"",VLOOKUP($A141,'Pre-Assessment Estimator'!$A$10:$Z$225,J$2,FALSE))</f>
        <v/>
      </c>
      <c r="K141" s="577" t="str">
        <f>IF(VLOOKUP($A141,'Pre-Assessment Estimator'!$A$10:$Z$225,K$2,FALSE)=0,"",VLOOKUP($A141,'Pre-Assessment Estimator'!$A$10:$Z$225,K$2,FALSE))</f>
        <v/>
      </c>
      <c r="L141" s="578" t="str">
        <f>IF(VLOOKUP($A141,'Pre-Assessment Estimator'!$A$10:$Z$225,L$2,FALSE)=0,"",VLOOKUP($A141,'Pre-Assessment Estimator'!$A$10:$Z$225,L$2,FALSE))</f>
        <v/>
      </c>
      <c r="M141" s="579"/>
      <c r="N141" s="580" t="str">
        <f>IF(VLOOKUP($A141,'Pre-Assessment Estimator'!$A$10:$Z$225,N$2,FALSE)=0,"",VLOOKUP($A141,'Pre-Assessment Estimator'!$A$10:$Z$225,N$2,FALSE))</f>
        <v/>
      </c>
      <c r="O141" s="575" t="str">
        <f>VLOOKUP($A141,'Pre-Assessment Estimator'!$A$10:$Z$225,O$2,FALSE)</f>
        <v>0 c. 0 %</v>
      </c>
      <c r="P141" s="574" t="str">
        <f>VLOOKUP($A141,'Pre-Assessment Estimator'!$A$10:$Z$225,P$2,FALSE)</f>
        <v>N/A</v>
      </c>
      <c r="Q141" s="577" t="str">
        <f>IF(VLOOKUP($A141,'Pre-Assessment Estimator'!$A$10:$Z$225,Q$2,FALSE)=0,"",VLOOKUP($A141,'Pre-Assessment Estimator'!$A$10:$Z$225,Q$2,FALSE))</f>
        <v/>
      </c>
      <c r="R141" s="577" t="str">
        <f>IF(VLOOKUP($A141,'Pre-Assessment Estimator'!$A$10:$Z$225,R$2,FALSE)=0,"",VLOOKUP($A141,'Pre-Assessment Estimator'!$A$10:$Z$225,R$2,FALSE))</f>
        <v/>
      </c>
      <c r="S141" s="578" t="str">
        <f>IF(VLOOKUP($A141,'Pre-Assessment Estimator'!$A$10:$Z$225,S$2,FALSE)=0,"",VLOOKUP($A141,'Pre-Assessment Estimator'!$A$10:$Z$225,S$2,FALSE))</f>
        <v/>
      </c>
      <c r="T141" s="581"/>
      <c r="U141" s="580" t="str">
        <f>IF(VLOOKUP($A141,'Pre-Assessment Estimator'!$A$10:$Z$225,U$2,FALSE)=0,"",VLOOKUP($A141,'Pre-Assessment Estimator'!$A$10:$Z$225,U$2,FALSE))</f>
        <v/>
      </c>
      <c r="V141" s="575" t="str">
        <f>VLOOKUP($A141,'Pre-Assessment Estimator'!$A$10:$Z$225,V$2,FALSE)</f>
        <v>0 c. 0 %</v>
      </c>
      <c r="W141" s="574" t="str">
        <f>VLOOKUP($A141,'Pre-Assessment Estimator'!$A$10:$Z$225,W$2,FALSE)</f>
        <v>N/A</v>
      </c>
      <c r="X141" s="577" t="str">
        <f>IF(VLOOKUP($A141,'Pre-Assessment Estimator'!$A$10:$Z$225,X$2,FALSE)=0,"",VLOOKUP($A141,'Pre-Assessment Estimator'!$A$10:$Z$225,X$2,FALSE))</f>
        <v/>
      </c>
      <c r="Y141" s="577" t="str">
        <f>IF(VLOOKUP($A141,'Pre-Assessment Estimator'!$A$10:$Z$225,Y$2,FALSE)=0,"",VLOOKUP($A141,'Pre-Assessment Estimator'!$A$10:$Z$225,Y$2,FALSE))</f>
        <v/>
      </c>
      <c r="Z141" s="370" t="str">
        <f>IF(VLOOKUP($A141,'Pre-Assessment Estimator'!$A$10:$Z$225,Z$2,FALSE)=0,"",VLOOKUP($A141,'Pre-Assessment Estimator'!$A$10:$Z$225,Z$2,FALSE))</f>
        <v/>
      </c>
      <c r="AA141" s="696">
        <v>131</v>
      </c>
      <c r="AB141" s="577"/>
      <c r="AF141" s="386">
        <f t="shared" si="2"/>
        <v>1</v>
      </c>
    </row>
    <row r="142" spans="1:32" x14ac:dyDescent="0.25">
      <c r="A142" s="823">
        <v>133</v>
      </c>
      <c r="B142" s="1236" t="s">
        <v>69</v>
      </c>
      <c r="C142" s="1236"/>
      <c r="D142" s="1259" t="str">
        <f>VLOOKUP($A142,'Pre-Assessment Estimator'!$A$10:$Z$225,D$2,FALSE)</f>
        <v>Mat 07</v>
      </c>
      <c r="E142" s="1260" t="str">
        <f>VLOOKUP($A142,'Pre-Assessment Estimator'!$A$10:$Z$225,E$2,FALSE)</f>
        <v>Resource inventory</v>
      </c>
      <c r="F142" s="574">
        <f>VLOOKUP($A142,'Pre-Assessment Estimator'!$A$10:$Z$225,F$2,FALSE)</f>
        <v>1</v>
      </c>
      <c r="G142" s="580" t="str">
        <f>IF(VLOOKUP($A142,'Pre-Assessment Estimator'!$A$10:$Z$225,G$2,FALSE)=0,"",VLOOKUP($A142,'Pre-Assessment Estimator'!$A$10:$Z$225,G$2,FALSE))</f>
        <v/>
      </c>
      <c r="H142" s="1222">
        <f>VLOOKUP($A142,'Pre-Assessment Estimator'!$A$10:$Z$225,H$2,FALSE)</f>
        <v>0</v>
      </c>
      <c r="I142" s="576" t="str">
        <f>VLOOKUP($A142,'Pre-Assessment Estimator'!$A$10:$Z$225,I$2,FALSE)</f>
        <v>N/A</v>
      </c>
      <c r="J142" s="577" t="str">
        <f>IF(VLOOKUP($A142,'Pre-Assessment Estimator'!$A$10:$Z$225,J$2,FALSE)=0,"",VLOOKUP($A142,'Pre-Assessment Estimator'!$A$10:$Z$225,J$2,FALSE))</f>
        <v/>
      </c>
      <c r="K142" s="577" t="str">
        <f>IF(VLOOKUP($A142,'Pre-Assessment Estimator'!$A$10:$Z$225,K$2,FALSE)=0,"",VLOOKUP($A142,'Pre-Assessment Estimator'!$A$10:$Z$225,K$2,FALSE))</f>
        <v/>
      </c>
      <c r="L142" s="578" t="str">
        <f>IF(VLOOKUP($A142,'Pre-Assessment Estimator'!$A$10:$Z$225,L$2,FALSE)=0,"",VLOOKUP($A142,'Pre-Assessment Estimator'!$A$10:$Z$225,L$2,FALSE))</f>
        <v/>
      </c>
      <c r="M142" s="579"/>
      <c r="N142" s="580" t="str">
        <f>IF(VLOOKUP($A142,'Pre-Assessment Estimator'!$A$10:$Z$225,N$2,FALSE)=0,"",VLOOKUP($A142,'Pre-Assessment Estimator'!$A$10:$Z$225,N$2,FALSE))</f>
        <v/>
      </c>
      <c r="O142" s="575">
        <f>VLOOKUP($A142,'Pre-Assessment Estimator'!$A$10:$Z$225,O$2,FALSE)</f>
        <v>0</v>
      </c>
      <c r="P142" s="574" t="str">
        <f>VLOOKUP($A142,'Pre-Assessment Estimator'!$A$10:$Z$225,P$2,FALSE)</f>
        <v>N/A</v>
      </c>
      <c r="Q142" s="577" t="str">
        <f>IF(VLOOKUP($A142,'Pre-Assessment Estimator'!$A$10:$Z$225,Q$2,FALSE)=0,"",VLOOKUP($A142,'Pre-Assessment Estimator'!$A$10:$Z$225,Q$2,FALSE))</f>
        <v/>
      </c>
      <c r="R142" s="577" t="str">
        <f>IF(VLOOKUP($A142,'Pre-Assessment Estimator'!$A$10:$Z$225,R$2,FALSE)=0,"",VLOOKUP($A142,'Pre-Assessment Estimator'!$A$10:$Z$225,R$2,FALSE))</f>
        <v/>
      </c>
      <c r="S142" s="578" t="str">
        <f>IF(VLOOKUP($A142,'Pre-Assessment Estimator'!$A$10:$Z$225,S$2,FALSE)=0,"",VLOOKUP($A142,'Pre-Assessment Estimator'!$A$10:$Z$225,S$2,FALSE))</f>
        <v/>
      </c>
      <c r="T142" s="581"/>
      <c r="U142" s="580" t="str">
        <f>IF(VLOOKUP($A142,'Pre-Assessment Estimator'!$A$10:$Z$225,U$2,FALSE)=0,"",VLOOKUP($A142,'Pre-Assessment Estimator'!$A$10:$Z$225,U$2,FALSE))</f>
        <v/>
      </c>
      <c r="V142" s="575">
        <f>VLOOKUP($A142,'Pre-Assessment Estimator'!$A$10:$Z$225,V$2,FALSE)</f>
        <v>0</v>
      </c>
      <c r="W142" s="574" t="str">
        <f>VLOOKUP($A142,'Pre-Assessment Estimator'!$A$10:$Z$225,W$2,FALSE)</f>
        <v>N/A</v>
      </c>
      <c r="X142" s="577" t="str">
        <f>IF(VLOOKUP($A142,'Pre-Assessment Estimator'!$A$10:$Z$225,X$2,FALSE)=0,"",VLOOKUP($A142,'Pre-Assessment Estimator'!$A$10:$Z$225,X$2,FALSE))</f>
        <v/>
      </c>
      <c r="Y142" s="577" t="str">
        <f>IF(VLOOKUP($A142,'Pre-Assessment Estimator'!$A$10:$Z$225,Y$2,FALSE)=0,"",VLOOKUP($A142,'Pre-Assessment Estimator'!$A$10:$Z$225,Y$2,FALSE))</f>
        <v/>
      </c>
      <c r="Z142" s="370" t="str">
        <f>IF(VLOOKUP($A142,'Pre-Assessment Estimator'!$A$10:$Z$225,Z$2,FALSE)=0,"",VLOOKUP($A142,'Pre-Assessment Estimator'!$A$10:$Z$225,Z$2,FALSE))</f>
        <v/>
      </c>
      <c r="AA142" s="696">
        <v>132</v>
      </c>
      <c r="AB142" s="577"/>
      <c r="AF142" s="386">
        <f t="shared" si="2"/>
        <v>1</v>
      </c>
    </row>
    <row r="143" spans="1:32" ht="30" x14ac:dyDescent="0.25">
      <c r="A143" s="823">
        <v>134</v>
      </c>
      <c r="B143" s="1236" t="s">
        <v>69</v>
      </c>
      <c r="C143" s="1236"/>
      <c r="D143" s="1259" t="str">
        <f>VLOOKUP($A143,'Pre-Assessment Estimator'!$A$10:$Z$225,D$2,FALSE)</f>
        <v>Mat 07</v>
      </c>
      <c r="E143" s="1260" t="str">
        <f>VLOOKUP($A143,'Pre-Assessment Estimator'!$A$10:$Z$225,E$2,FALSE)</f>
        <v>Design for disassembly and functional adaptability - recommendations (EU taxonomy requirement: criterion 2-6)</v>
      </c>
      <c r="F143" s="574">
        <f>VLOOKUP($A143,'Pre-Assessment Estimator'!$A$10:$Z$225,F$2,FALSE)</f>
        <v>1</v>
      </c>
      <c r="G143" s="580" t="str">
        <f>IF(VLOOKUP($A143,'Pre-Assessment Estimator'!$A$10:$Z$225,G$2,FALSE)=0,"",VLOOKUP($A143,'Pre-Assessment Estimator'!$A$10:$Z$225,G$2,FALSE))</f>
        <v/>
      </c>
      <c r="H143" s="1222">
        <f>VLOOKUP($A143,'Pre-Assessment Estimator'!$A$10:$Z$225,H$2,FALSE)</f>
        <v>0</v>
      </c>
      <c r="I143" s="576" t="str">
        <f>VLOOKUP($A143,'Pre-Assessment Estimator'!$A$10:$Z$225,I$2,FALSE)</f>
        <v>Very Good</v>
      </c>
      <c r="J143" s="577" t="str">
        <f>IF(VLOOKUP($A143,'Pre-Assessment Estimator'!$A$10:$Z$225,J$2,FALSE)=0,"",VLOOKUP($A143,'Pre-Assessment Estimator'!$A$10:$Z$225,J$2,FALSE))</f>
        <v/>
      </c>
      <c r="K143" s="577" t="str">
        <f>IF(VLOOKUP($A143,'Pre-Assessment Estimator'!$A$10:$Z$225,K$2,FALSE)=0,"",VLOOKUP($A143,'Pre-Assessment Estimator'!$A$10:$Z$225,K$2,FALSE))</f>
        <v/>
      </c>
      <c r="L143" s="578" t="str">
        <f>IF(VLOOKUP($A143,'Pre-Assessment Estimator'!$A$10:$Z$225,L$2,FALSE)=0,"",VLOOKUP($A143,'Pre-Assessment Estimator'!$A$10:$Z$225,L$2,FALSE))</f>
        <v/>
      </c>
      <c r="M143" s="579"/>
      <c r="N143" s="580" t="str">
        <f>IF(VLOOKUP($A143,'Pre-Assessment Estimator'!$A$10:$Z$225,N$2,FALSE)=0,"",VLOOKUP($A143,'Pre-Assessment Estimator'!$A$10:$Z$225,N$2,FALSE))</f>
        <v/>
      </c>
      <c r="O143" s="575">
        <f>VLOOKUP($A143,'Pre-Assessment Estimator'!$A$10:$Z$225,O$2,FALSE)</f>
        <v>0</v>
      </c>
      <c r="P143" s="574" t="str">
        <f>VLOOKUP($A143,'Pre-Assessment Estimator'!$A$10:$Z$225,P$2,FALSE)</f>
        <v>Very Good</v>
      </c>
      <c r="Q143" s="577" t="str">
        <f>IF(VLOOKUP($A143,'Pre-Assessment Estimator'!$A$10:$Z$225,Q$2,FALSE)=0,"",VLOOKUP($A143,'Pre-Assessment Estimator'!$A$10:$Z$225,Q$2,FALSE))</f>
        <v/>
      </c>
      <c r="R143" s="577" t="str">
        <f>IF(VLOOKUP($A143,'Pre-Assessment Estimator'!$A$10:$Z$225,R$2,FALSE)=0,"",VLOOKUP($A143,'Pre-Assessment Estimator'!$A$10:$Z$225,R$2,FALSE))</f>
        <v/>
      </c>
      <c r="S143" s="578" t="str">
        <f>IF(VLOOKUP($A143,'Pre-Assessment Estimator'!$A$10:$Z$225,S$2,FALSE)=0,"",VLOOKUP($A143,'Pre-Assessment Estimator'!$A$10:$Z$225,S$2,FALSE))</f>
        <v/>
      </c>
      <c r="T143" s="581"/>
      <c r="U143" s="580" t="str">
        <f>IF(VLOOKUP($A143,'Pre-Assessment Estimator'!$A$10:$Z$225,U$2,FALSE)=0,"",VLOOKUP($A143,'Pre-Assessment Estimator'!$A$10:$Z$225,U$2,FALSE))</f>
        <v/>
      </c>
      <c r="V143" s="575">
        <f>VLOOKUP($A143,'Pre-Assessment Estimator'!$A$10:$Z$225,V$2,FALSE)</f>
        <v>0</v>
      </c>
      <c r="W143" s="574" t="str">
        <f>VLOOKUP($A143,'Pre-Assessment Estimator'!$A$10:$Z$225,W$2,FALSE)</f>
        <v>Very Good</v>
      </c>
      <c r="X143" s="577" t="str">
        <f>IF(VLOOKUP($A143,'Pre-Assessment Estimator'!$A$10:$Z$225,X$2,FALSE)=0,"",VLOOKUP($A143,'Pre-Assessment Estimator'!$A$10:$Z$225,X$2,FALSE))</f>
        <v/>
      </c>
      <c r="Y143" s="577" t="str">
        <f>IF(VLOOKUP($A143,'Pre-Assessment Estimator'!$A$10:$Z$225,Y$2,FALSE)=0,"",VLOOKUP($A143,'Pre-Assessment Estimator'!$A$10:$Z$225,Y$2,FALSE))</f>
        <v/>
      </c>
      <c r="Z143" s="370" t="str">
        <f>IF(VLOOKUP($A143,'Pre-Assessment Estimator'!$A$10:$Z$225,Z$2,FALSE)=0,"",VLOOKUP($A143,'Pre-Assessment Estimator'!$A$10:$Z$225,Z$2,FALSE))</f>
        <v/>
      </c>
      <c r="AA143" s="696">
        <v>133</v>
      </c>
      <c r="AB143" s="577" t="str">
        <f>IF(VLOOKUP($A143,'Pre-Assessment Estimator'!$A$10:$AB$225,AB$2,FALSE)=0,"",VLOOKUP($A143,'Pre-Assessment Estimator'!$A$10:$AB$225,AB$2,FALSE))</f>
        <v/>
      </c>
      <c r="AF143" s="386">
        <f t="shared" si="2"/>
        <v>1</v>
      </c>
    </row>
    <row r="144" spans="1:32" ht="30" x14ac:dyDescent="0.25">
      <c r="A144" s="823">
        <v>135</v>
      </c>
      <c r="B144" s="1236" t="s">
        <v>69</v>
      </c>
      <c r="C144" s="1236"/>
      <c r="D144" s="1259" t="str">
        <f>VLOOKUP($A144,'Pre-Assessment Estimator'!$A$10:$Z$225,D$2,FALSE)</f>
        <v>Mat 07</v>
      </c>
      <c r="E144" s="1260" t="str">
        <f>VLOOKUP($A144,'Pre-Assessment Estimator'!$A$10:$Z$225,E$2,FALSE)</f>
        <v>Disassembly and functional adaptability - implementation (EU taxonomy requirement: criterion 2-6)</v>
      </c>
      <c r="F144" s="574">
        <f>VLOOKUP($A144,'Pre-Assessment Estimator'!$A$10:$Z$225,F$2,FALSE)</f>
        <v>1</v>
      </c>
      <c r="G144" s="580" t="str">
        <f>IF(VLOOKUP($A144,'Pre-Assessment Estimator'!$A$10:$Z$225,G$2,FALSE)=0,"",VLOOKUP($A144,'Pre-Assessment Estimator'!$A$10:$Z$225,G$2,FALSE))</f>
        <v/>
      </c>
      <c r="H144" s="1222">
        <f>VLOOKUP($A144,'Pre-Assessment Estimator'!$A$10:$Z$225,H$2,FALSE)</f>
        <v>0</v>
      </c>
      <c r="I144" s="576" t="str">
        <f>VLOOKUP($A144,'Pre-Assessment Estimator'!$A$10:$Z$225,I$2,FALSE)</f>
        <v>Very Good</v>
      </c>
      <c r="J144" s="577" t="str">
        <f>IF(VLOOKUP($A144,'Pre-Assessment Estimator'!$A$10:$Z$225,J$2,FALSE)=0,"",VLOOKUP($A144,'Pre-Assessment Estimator'!$A$10:$Z$225,J$2,FALSE))</f>
        <v/>
      </c>
      <c r="K144" s="577" t="str">
        <f>IF(VLOOKUP($A144,'Pre-Assessment Estimator'!$A$10:$Z$225,K$2,FALSE)=0,"",VLOOKUP($A144,'Pre-Assessment Estimator'!$A$10:$Z$225,K$2,FALSE))</f>
        <v/>
      </c>
      <c r="L144" s="578" t="str">
        <f>IF(VLOOKUP($A144,'Pre-Assessment Estimator'!$A$10:$Z$225,L$2,FALSE)=0,"",VLOOKUP($A144,'Pre-Assessment Estimator'!$A$10:$Z$225,L$2,FALSE))</f>
        <v/>
      </c>
      <c r="M144" s="579"/>
      <c r="N144" s="580" t="str">
        <f>IF(VLOOKUP($A144,'Pre-Assessment Estimator'!$A$10:$Z$225,N$2,FALSE)=0,"",VLOOKUP($A144,'Pre-Assessment Estimator'!$A$10:$Z$225,N$2,FALSE))</f>
        <v/>
      </c>
      <c r="O144" s="575">
        <f>VLOOKUP($A144,'Pre-Assessment Estimator'!$A$10:$Z$225,O$2,FALSE)</f>
        <v>0</v>
      </c>
      <c r="P144" s="574" t="str">
        <f>VLOOKUP($A144,'Pre-Assessment Estimator'!$A$10:$Z$225,P$2,FALSE)</f>
        <v>Very Good</v>
      </c>
      <c r="Q144" s="577" t="str">
        <f>IF(VLOOKUP($A144,'Pre-Assessment Estimator'!$A$10:$Z$225,Q$2,FALSE)=0,"",VLOOKUP($A144,'Pre-Assessment Estimator'!$A$10:$Z$225,Q$2,FALSE))</f>
        <v/>
      </c>
      <c r="R144" s="577" t="str">
        <f>IF(VLOOKUP($A144,'Pre-Assessment Estimator'!$A$10:$Z$225,R$2,FALSE)=0,"",VLOOKUP($A144,'Pre-Assessment Estimator'!$A$10:$Z$225,R$2,FALSE))</f>
        <v/>
      </c>
      <c r="S144" s="578" t="str">
        <f>IF(VLOOKUP($A144,'Pre-Assessment Estimator'!$A$10:$Z$225,S$2,FALSE)=0,"",VLOOKUP($A144,'Pre-Assessment Estimator'!$A$10:$Z$225,S$2,FALSE))</f>
        <v/>
      </c>
      <c r="T144" s="581"/>
      <c r="U144" s="580" t="str">
        <f>IF(VLOOKUP($A144,'Pre-Assessment Estimator'!$A$10:$Z$225,U$2,FALSE)=0,"",VLOOKUP($A144,'Pre-Assessment Estimator'!$A$10:$Z$225,U$2,FALSE))</f>
        <v/>
      </c>
      <c r="V144" s="575">
        <f>VLOOKUP($A144,'Pre-Assessment Estimator'!$A$10:$Z$225,V$2,FALSE)</f>
        <v>0</v>
      </c>
      <c r="W144" s="574" t="str">
        <f>VLOOKUP($A144,'Pre-Assessment Estimator'!$A$10:$Z$225,W$2,FALSE)</f>
        <v>Very Good</v>
      </c>
      <c r="X144" s="577" t="str">
        <f>IF(VLOOKUP($A144,'Pre-Assessment Estimator'!$A$10:$Z$225,X$2,FALSE)=0,"",VLOOKUP($A144,'Pre-Assessment Estimator'!$A$10:$Z$225,X$2,FALSE))</f>
        <v/>
      </c>
      <c r="Y144" s="577" t="str">
        <f>IF(VLOOKUP($A144,'Pre-Assessment Estimator'!$A$10:$Z$225,Y$2,FALSE)=0,"",VLOOKUP($A144,'Pre-Assessment Estimator'!$A$10:$Z$225,Y$2,FALSE))</f>
        <v/>
      </c>
      <c r="Z144" s="370" t="str">
        <f>IF(VLOOKUP($A144,'Pre-Assessment Estimator'!$A$10:$Z$225,Z$2,FALSE)=0,"",VLOOKUP($A144,'Pre-Assessment Estimator'!$A$10:$Z$225,Z$2,FALSE))</f>
        <v/>
      </c>
      <c r="AA144" s="696">
        <v>134</v>
      </c>
      <c r="AB144" s="585" t="str">
        <f>IF(VLOOKUP($A144,'Pre-Assessment Estimator'!$A$10:$AB$225,AB$2,FALSE)=0,"",VLOOKUP($A144,'Pre-Assessment Estimator'!$A$10:$AB$225,AB$2,FALSE))</f>
        <v/>
      </c>
      <c r="AC144" s="389"/>
      <c r="AD144" s="389"/>
      <c r="AE144" s="389"/>
      <c r="AF144" s="386">
        <f t="shared" si="2"/>
        <v>1</v>
      </c>
    </row>
    <row r="145" spans="1:32" ht="30.75" thickBot="1" x14ac:dyDescent="0.3">
      <c r="A145" s="823">
        <v>136</v>
      </c>
      <c r="B145" s="1236" t="s">
        <v>70</v>
      </c>
      <c r="C145" s="1236"/>
      <c r="D145" s="1261"/>
      <c r="E145" s="1261" t="str">
        <f>VLOOKUP($A145,'Pre-Assessment Estimator'!$A$10:$Z$225,E$2,FALSE)</f>
        <v>Total performance materials</v>
      </c>
      <c r="F145" s="582">
        <f>VLOOKUP($A145,'Pre-Assessment Estimator'!$A$10:$Z$225,F$2,FALSE)</f>
        <v>21</v>
      </c>
      <c r="G145" s="584" t="str">
        <f>IF(VLOOKUP($A145,'Pre-Assessment Estimator'!$A$10:$Z$225,G$2,FALSE)=0,"",VLOOKUP($A145,'Pre-Assessment Estimator'!$A$10:$Z$225,G$2,FALSE))</f>
        <v/>
      </c>
      <c r="H145" s="583">
        <f>VLOOKUP($A145,'Pre-Assessment Estimator'!$A$10:$Z$225,H$2,FALSE)</f>
        <v>0</v>
      </c>
      <c r="I145" s="582" t="str">
        <f>VLOOKUP($A145,'Pre-Assessment Estimator'!$A$10:$Z$225,I$2,FALSE)</f>
        <v>Credits achieved: 0</v>
      </c>
      <c r="J145" s="1204" t="str">
        <f>IF(VLOOKUP($A145,'Pre-Assessment Estimator'!$A$10:$Z$225,J$2,FALSE)=0,"",VLOOKUP($A145,'Pre-Assessment Estimator'!$A$10:$Z$225,J$2,FALSE))</f>
        <v/>
      </c>
      <c r="K145" s="1204" t="str">
        <f>IF(VLOOKUP($A145,'Pre-Assessment Estimator'!$A$10:$Z$225,K$2,FALSE)=0,"",VLOOKUP($A145,'Pre-Assessment Estimator'!$A$10:$Z$225,K$2,FALSE))</f>
        <v/>
      </c>
      <c r="L145" s="1223" t="str">
        <f>IF(VLOOKUP($A145,'Pre-Assessment Estimator'!$A$10:$Z$225,L$2,FALSE)=0,"",VLOOKUP($A145,'Pre-Assessment Estimator'!$A$10:$Z$225,L$2,FALSE))</f>
        <v/>
      </c>
      <c r="M145" s="1224"/>
      <c r="N145" s="584" t="str">
        <f>IF(VLOOKUP($A145,'Pre-Assessment Estimator'!$A$10:$Z$225,N$2,FALSE)=0,"",VLOOKUP($A145,'Pre-Assessment Estimator'!$A$10:$Z$225,N$2,FALSE))</f>
        <v/>
      </c>
      <c r="O145" s="583">
        <f>VLOOKUP($A145,'Pre-Assessment Estimator'!$A$10:$Z$225,O$2,FALSE)</f>
        <v>0</v>
      </c>
      <c r="P145" s="582" t="str">
        <f>VLOOKUP($A145,'Pre-Assessment Estimator'!$A$10:$Z$225,P$2,FALSE)</f>
        <v>Credits achieved: 0</v>
      </c>
      <c r="Q145" s="1204" t="str">
        <f>IF(VLOOKUP($A145,'Pre-Assessment Estimator'!$A$10:$Z$225,Q$2,FALSE)=0,"",VLOOKUP($A145,'Pre-Assessment Estimator'!$A$10:$Z$225,Q$2,FALSE))</f>
        <v/>
      </c>
      <c r="R145" s="1204" t="str">
        <f>IF(VLOOKUP($A145,'Pre-Assessment Estimator'!$A$10:$Z$225,R$2,FALSE)=0,"",VLOOKUP($A145,'Pre-Assessment Estimator'!$A$10:$Z$225,R$2,FALSE))</f>
        <v/>
      </c>
      <c r="S145" s="1223" t="str">
        <f>IF(VLOOKUP($A145,'Pre-Assessment Estimator'!$A$10:$Z$225,S$2,FALSE)=0,"",VLOOKUP($A145,'Pre-Assessment Estimator'!$A$10:$Z$225,S$2,FALSE))</f>
        <v/>
      </c>
      <c r="T145" s="1225"/>
      <c r="U145" s="584" t="str">
        <f>IF(VLOOKUP($A145,'Pre-Assessment Estimator'!$A$10:$Z$225,U$2,FALSE)=0,"",VLOOKUP($A145,'Pre-Assessment Estimator'!$A$10:$Z$225,U$2,FALSE))</f>
        <v/>
      </c>
      <c r="V145" s="583">
        <f>VLOOKUP($A145,'Pre-Assessment Estimator'!$A$10:$Z$225,V$2,FALSE)</f>
        <v>0</v>
      </c>
      <c r="W145" s="582" t="str">
        <f>VLOOKUP($A145,'Pre-Assessment Estimator'!$A$10:$Z$225,W$2,FALSE)</f>
        <v>Credits achieved: 0</v>
      </c>
      <c r="X145" s="1204" t="str">
        <f>IF(VLOOKUP($A145,'Pre-Assessment Estimator'!$A$10:$Z$225,X$2,FALSE)=0,"",VLOOKUP($A145,'Pre-Assessment Estimator'!$A$10:$Z$225,X$2,FALSE))</f>
        <v/>
      </c>
      <c r="Y145" s="1204" t="str">
        <f>IF(VLOOKUP($A145,'Pre-Assessment Estimator'!$A$10:$Z$225,Y$2,FALSE)=0,"",VLOOKUP($A145,'Pre-Assessment Estimator'!$A$10:$Z$225,Y$2,FALSE))</f>
        <v/>
      </c>
      <c r="Z145" s="1226" t="str">
        <f>IF(VLOOKUP($A145,'Pre-Assessment Estimator'!$A$10:$Z$225,Z$2,FALSE)=0,"",VLOOKUP($A145,'Pre-Assessment Estimator'!$A$10:$Z$225,Z$2,FALSE))</f>
        <v/>
      </c>
      <c r="AA145" s="696">
        <v>135</v>
      </c>
      <c r="AB145" s="697" t="str">
        <f>IF(VLOOKUP($A145,'Pre-Assessment Estimator'!$A$10:$AB$225,AB$2,FALSE)=0,"",VLOOKUP($A145,'Pre-Assessment Estimator'!$A$10:$AB$225,AB$2,FALSE))</f>
        <v/>
      </c>
      <c r="AF145" s="386">
        <f t="shared" si="2"/>
        <v>1</v>
      </c>
    </row>
    <row r="146" spans="1:32" x14ac:dyDescent="0.25">
      <c r="A146" s="823">
        <v>137</v>
      </c>
      <c r="B146" s="1236" t="s">
        <v>70</v>
      </c>
      <c r="C146" s="1236"/>
      <c r="D146" s="585"/>
      <c r="E146" s="585"/>
      <c r="F146" s="586"/>
      <c r="G146" s="586"/>
      <c r="H146" s="586"/>
      <c r="I146" s="586"/>
      <c r="J146" s="585"/>
      <c r="K146" s="586"/>
      <c r="L146" s="585"/>
      <c r="M146" s="579"/>
      <c r="N146" s="586"/>
      <c r="O146" s="586"/>
      <c r="P146" s="586"/>
      <c r="Q146" s="585"/>
      <c r="R146" s="586"/>
      <c r="S146" s="585"/>
      <c r="T146" s="581"/>
      <c r="U146" s="586"/>
      <c r="V146" s="586"/>
      <c r="W146" s="586"/>
      <c r="X146" s="585"/>
      <c r="Y146" s="586"/>
      <c r="Z146" s="343"/>
      <c r="AA146" s="696">
        <v>136</v>
      </c>
      <c r="AB146" s="577" t="str">
        <f>IF(VLOOKUP($A146,'Pre-Assessment Estimator'!$A$10:$AB$225,AB$2,FALSE)=0,"",VLOOKUP($A146,'Pre-Assessment Estimator'!$A$10:$AB$225,AB$2,FALSE))</f>
        <v/>
      </c>
      <c r="AF146" s="386">
        <f t="shared" ref="AF146:AF209" si="3">IF(F146="",1,IF(F146=0,2,1))</f>
        <v>1</v>
      </c>
    </row>
    <row r="147" spans="1:32" ht="18.75" x14ac:dyDescent="0.25">
      <c r="A147" s="823">
        <v>138</v>
      </c>
      <c r="B147" s="1236" t="s">
        <v>70</v>
      </c>
      <c r="C147" s="1236"/>
      <c r="D147" s="587"/>
      <c r="E147" s="587" t="s">
        <v>70</v>
      </c>
      <c r="F147" s="570"/>
      <c r="G147" s="570"/>
      <c r="H147" s="570"/>
      <c r="I147" s="570"/>
      <c r="J147" s="571"/>
      <c r="K147" s="570"/>
      <c r="L147" s="571"/>
      <c r="M147" s="579"/>
      <c r="N147" s="570"/>
      <c r="O147" s="570"/>
      <c r="P147" s="570"/>
      <c r="Q147" s="571"/>
      <c r="R147" s="570"/>
      <c r="S147" s="571"/>
      <c r="T147" s="581"/>
      <c r="U147" s="570"/>
      <c r="V147" s="570"/>
      <c r="W147" s="570"/>
      <c r="X147" s="571"/>
      <c r="Y147" s="570"/>
      <c r="Z147" s="411"/>
      <c r="AA147" s="696">
        <v>137</v>
      </c>
      <c r="AB147" s="577"/>
      <c r="AF147" s="386">
        <f t="shared" si="3"/>
        <v>1</v>
      </c>
    </row>
    <row r="148" spans="1:32" x14ac:dyDescent="0.25">
      <c r="A148" s="823">
        <v>139</v>
      </c>
      <c r="B148" s="1236" t="s">
        <v>70</v>
      </c>
      <c r="C148" s="1236"/>
      <c r="D148" s="1258" t="str">
        <f>VLOOKUP($A148,'Pre-Assessment Estimator'!$A$10:$Z$225,D$2,FALSE)</f>
        <v>Wst 01</v>
      </c>
      <c r="E148" s="1258" t="str">
        <f>VLOOKUP($A148,'Pre-Assessment Estimator'!$A$10:$Z$225,E$2,FALSE)</f>
        <v>Wst 01 Construction waste management</v>
      </c>
      <c r="F148" s="574">
        <f>VLOOKUP($A148,'Pre-Assessment Estimator'!$A$10:$Z$225,F$2,FALSE)</f>
        <v>5</v>
      </c>
      <c r="G148" s="580" t="str">
        <f>IF(VLOOKUP($A148,'Pre-Assessment Estimator'!$A$10:$Z$225,G$2,FALSE)=0,"",VLOOKUP($A148,'Pre-Assessment Estimator'!$A$10:$Z$225,G$2,FALSE))</f>
        <v/>
      </c>
      <c r="H148" s="1222" t="str">
        <f>VLOOKUP($A148,'Pre-Assessment Estimator'!$A$10:$Z$225,H$2,FALSE)</f>
        <v>0 c. 0 %</v>
      </c>
      <c r="I148" s="576" t="str">
        <f>VLOOKUP($A148,'Pre-Assessment Estimator'!$A$10:$Z$225,I$2,FALSE)</f>
        <v>N/A</v>
      </c>
      <c r="J148" s="577" t="str">
        <f>IF(VLOOKUP($A148,'Pre-Assessment Estimator'!$A$10:$Z$225,J$2,FALSE)=0,"",VLOOKUP($A148,'Pre-Assessment Estimator'!$A$10:$Z$225,J$2,FALSE))</f>
        <v/>
      </c>
      <c r="K148" s="577" t="str">
        <f>IF(VLOOKUP($A148,'Pre-Assessment Estimator'!$A$10:$Z$225,K$2,FALSE)=0,"",VLOOKUP($A148,'Pre-Assessment Estimator'!$A$10:$Z$225,K$2,FALSE))</f>
        <v/>
      </c>
      <c r="L148" s="578" t="str">
        <f>IF(VLOOKUP($A148,'Pre-Assessment Estimator'!$A$10:$Z$225,L$2,FALSE)=0,"",VLOOKUP($A148,'Pre-Assessment Estimator'!$A$10:$Z$225,L$2,FALSE))</f>
        <v/>
      </c>
      <c r="M148" s="579"/>
      <c r="N148" s="580" t="str">
        <f>IF(VLOOKUP($A148,'Pre-Assessment Estimator'!$A$10:$Z$225,N$2,FALSE)=0,"",VLOOKUP($A148,'Pre-Assessment Estimator'!$A$10:$Z$225,N$2,FALSE))</f>
        <v/>
      </c>
      <c r="O148" s="575" t="str">
        <f>VLOOKUP($A148,'Pre-Assessment Estimator'!$A$10:$Z$225,O$2,FALSE)</f>
        <v>0 c. 0 %</v>
      </c>
      <c r="P148" s="574" t="str">
        <f>VLOOKUP($A148,'Pre-Assessment Estimator'!$A$10:$Z$225,P$2,FALSE)</f>
        <v>N/A</v>
      </c>
      <c r="Q148" s="577" t="str">
        <f>IF(VLOOKUP($A148,'Pre-Assessment Estimator'!$A$10:$Z$225,Q$2,FALSE)=0,"",VLOOKUP($A148,'Pre-Assessment Estimator'!$A$10:$Z$225,Q$2,FALSE))</f>
        <v/>
      </c>
      <c r="R148" s="577" t="str">
        <f>IF(VLOOKUP($A148,'Pre-Assessment Estimator'!$A$10:$Z$225,R$2,FALSE)=0,"",VLOOKUP($A148,'Pre-Assessment Estimator'!$A$10:$Z$225,R$2,FALSE))</f>
        <v/>
      </c>
      <c r="S148" s="578" t="str">
        <f>IF(VLOOKUP($A148,'Pre-Assessment Estimator'!$A$10:$Z$225,S$2,FALSE)=0,"",VLOOKUP($A148,'Pre-Assessment Estimator'!$A$10:$Z$225,S$2,FALSE))</f>
        <v/>
      </c>
      <c r="T148" s="581"/>
      <c r="U148" s="580" t="str">
        <f>IF(VLOOKUP($A148,'Pre-Assessment Estimator'!$A$10:$Z$225,U$2,FALSE)=0,"",VLOOKUP($A148,'Pre-Assessment Estimator'!$A$10:$Z$225,U$2,FALSE))</f>
        <v/>
      </c>
      <c r="V148" s="575" t="str">
        <f>VLOOKUP($A148,'Pre-Assessment Estimator'!$A$10:$Z$225,V$2,FALSE)</f>
        <v>0 c. 0 %</v>
      </c>
      <c r="W148" s="574" t="str">
        <f>VLOOKUP($A148,'Pre-Assessment Estimator'!$A$10:$Z$225,W$2,FALSE)</f>
        <v>N/A</v>
      </c>
      <c r="X148" s="577" t="str">
        <f>IF(VLOOKUP($A148,'Pre-Assessment Estimator'!$A$10:$Z$225,X$2,FALSE)=0,"",VLOOKUP($A148,'Pre-Assessment Estimator'!$A$10:$Z$225,X$2,FALSE))</f>
        <v/>
      </c>
      <c r="Y148" s="577" t="str">
        <f>IF(VLOOKUP($A148,'Pre-Assessment Estimator'!$A$10:$Z$225,Y$2,FALSE)=0,"",VLOOKUP($A148,'Pre-Assessment Estimator'!$A$10:$Z$225,Y$2,FALSE))</f>
        <v/>
      </c>
      <c r="Z148" s="370" t="str">
        <f>IF(VLOOKUP($A148,'Pre-Assessment Estimator'!$A$10:$Z$225,Z$2,FALSE)=0,"",VLOOKUP($A148,'Pre-Assessment Estimator'!$A$10:$Z$225,Z$2,FALSE))</f>
        <v/>
      </c>
      <c r="AA148" s="696">
        <v>138</v>
      </c>
      <c r="AB148" s="577"/>
      <c r="AF148" s="386">
        <f t="shared" si="3"/>
        <v>1</v>
      </c>
    </row>
    <row r="149" spans="1:32" x14ac:dyDescent="0.25">
      <c r="A149" s="823">
        <v>140</v>
      </c>
      <c r="B149" s="1236" t="s">
        <v>70</v>
      </c>
      <c r="C149" s="1236"/>
      <c r="D149" s="1259" t="str">
        <f>VLOOKUP($A149,'Pre-Assessment Estimator'!$A$10:$Z$225,D$2,FALSE)</f>
        <v>Wst 01</v>
      </c>
      <c r="E149" s="1260" t="str">
        <f>VLOOKUP($A149,'Pre-Assessment Estimator'!$A$10:$Z$225,E$2,FALSE)</f>
        <v>Resource managment plan</v>
      </c>
      <c r="F149" s="574">
        <f>VLOOKUP($A149,'Pre-Assessment Estimator'!$A$10:$Z$225,F$2,FALSE)</f>
        <v>1</v>
      </c>
      <c r="G149" s="580" t="str">
        <f>IF(VLOOKUP($A149,'Pre-Assessment Estimator'!$A$10:$Z$225,G$2,FALSE)=0,"",VLOOKUP($A149,'Pre-Assessment Estimator'!$A$10:$Z$225,G$2,FALSE))</f>
        <v/>
      </c>
      <c r="H149" s="1222">
        <f>VLOOKUP($A149,'Pre-Assessment Estimator'!$A$10:$Z$225,H$2,FALSE)</f>
        <v>0</v>
      </c>
      <c r="I149" s="576" t="str">
        <f>VLOOKUP($A149,'Pre-Assessment Estimator'!$A$10:$Z$225,I$2,FALSE)</f>
        <v>Good</v>
      </c>
      <c r="J149" s="577" t="str">
        <f>IF(VLOOKUP($A149,'Pre-Assessment Estimator'!$A$10:$Z$225,J$2,FALSE)=0,"",VLOOKUP($A149,'Pre-Assessment Estimator'!$A$10:$Z$225,J$2,FALSE))</f>
        <v/>
      </c>
      <c r="K149" s="577" t="str">
        <f>IF(VLOOKUP($A149,'Pre-Assessment Estimator'!$A$10:$Z$225,K$2,FALSE)=0,"",VLOOKUP($A149,'Pre-Assessment Estimator'!$A$10:$Z$225,K$2,FALSE))</f>
        <v/>
      </c>
      <c r="L149" s="578" t="str">
        <f>IF(VLOOKUP($A149,'Pre-Assessment Estimator'!$A$10:$Z$225,L$2,FALSE)=0,"",VLOOKUP($A149,'Pre-Assessment Estimator'!$A$10:$Z$225,L$2,FALSE))</f>
        <v/>
      </c>
      <c r="M149" s="579"/>
      <c r="N149" s="580" t="str">
        <f>IF(VLOOKUP($A149,'Pre-Assessment Estimator'!$A$10:$Z$225,N$2,FALSE)=0,"",VLOOKUP($A149,'Pre-Assessment Estimator'!$A$10:$Z$225,N$2,FALSE))</f>
        <v/>
      </c>
      <c r="O149" s="575">
        <f>VLOOKUP($A149,'Pre-Assessment Estimator'!$A$10:$Z$225,O$2,FALSE)</f>
        <v>0</v>
      </c>
      <c r="P149" s="574" t="str">
        <f>VLOOKUP($A149,'Pre-Assessment Estimator'!$A$10:$Z$225,P$2,FALSE)</f>
        <v>Good</v>
      </c>
      <c r="Q149" s="577" t="str">
        <f>IF(VLOOKUP($A149,'Pre-Assessment Estimator'!$A$10:$Z$225,Q$2,FALSE)=0,"",VLOOKUP($A149,'Pre-Assessment Estimator'!$A$10:$Z$225,Q$2,FALSE))</f>
        <v/>
      </c>
      <c r="R149" s="577" t="str">
        <f>IF(VLOOKUP($A149,'Pre-Assessment Estimator'!$A$10:$Z$225,R$2,FALSE)=0,"",VLOOKUP($A149,'Pre-Assessment Estimator'!$A$10:$Z$225,R$2,FALSE))</f>
        <v/>
      </c>
      <c r="S149" s="578" t="str">
        <f>IF(VLOOKUP($A149,'Pre-Assessment Estimator'!$A$10:$Z$225,S$2,FALSE)=0,"",VLOOKUP($A149,'Pre-Assessment Estimator'!$A$10:$Z$225,S$2,FALSE))</f>
        <v/>
      </c>
      <c r="T149" s="581"/>
      <c r="U149" s="580" t="str">
        <f>IF(VLOOKUP($A149,'Pre-Assessment Estimator'!$A$10:$Z$225,U$2,FALSE)=0,"",VLOOKUP($A149,'Pre-Assessment Estimator'!$A$10:$Z$225,U$2,FALSE))</f>
        <v/>
      </c>
      <c r="V149" s="575">
        <f>VLOOKUP($A149,'Pre-Assessment Estimator'!$A$10:$Z$225,V$2,FALSE)</f>
        <v>0</v>
      </c>
      <c r="W149" s="574" t="str">
        <f>VLOOKUP($A149,'Pre-Assessment Estimator'!$A$10:$Z$225,W$2,FALSE)</f>
        <v>Good</v>
      </c>
      <c r="X149" s="577" t="str">
        <f>IF(VLOOKUP($A149,'Pre-Assessment Estimator'!$A$10:$Z$225,X$2,FALSE)=0,"",VLOOKUP($A149,'Pre-Assessment Estimator'!$A$10:$Z$225,X$2,FALSE))</f>
        <v/>
      </c>
      <c r="Y149" s="577" t="str">
        <f>IF(VLOOKUP($A149,'Pre-Assessment Estimator'!$A$10:$Z$225,Y$2,FALSE)=0,"",VLOOKUP($A149,'Pre-Assessment Estimator'!$A$10:$Z$225,Y$2,FALSE))</f>
        <v/>
      </c>
      <c r="Z149" s="370" t="str">
        <f>IF(VLOOKUP($A149,'Pre-Assessment Estimator'!$A$10:$Z$225,Z$2,FALSE)=0,"",VLOOKUP($A149,'Pre-Assessment Estimator'!$A$10:$Z$225,Z$2,FALSE))</f>
        <v/>
      </c>
      <c r="AA149" s="696">
        <v>139</v>
      </c>
      <c r="AB149" s="577"/>
      <c r="AF149" s="386">
        <f t="shared" si="3"/>
        <v>1</v>
      </c>
    </row>
    <row r="150" spans="1:32" x14ac:dyDescent="0.25">
      <c r="A150" s="823">
        <v>141</v>
      </c>
      <c r="B150" s="1236" t="s">
        <v>70</v>
      </c>
      <c r="C150" s="1236"/>
      <c r="D150" s="1259" t="str">
        <f>VLOOKUP($A150,'Pre-Assessment Estimator'!$A$10:$Z$225,D$2,FALSE)</f>
        <v>Wst 01</v>
      </c>
      <c r="E150" s="1262" t="str">
        <f>VLOOKUP($A150,'Pre-Assessment Estimator'!$A$10:$Z$225,E$2,FALSE)</f>
        <v>EU taxonomy requirement: criterion 1</v>
      </c>
      <c r="F150" s="574" t="str">
        <f>VLOOKUP($A150,'Pre-Assessment Estimator'!$A$10:$Z$225,F$2,FALSE)</f>
        <v>Yes/No</v>
      </c>
      <c r="G150" s="580" t="str">
        <f>IF(VLOOKUP($A150,'Pre-Assessment Estimator'!$A$10:$Z$225,G$2,FALSE)=0,"",VLOOKUP($A150,'Pre-Assessment Estimator'!$A$10:$Z$225,G$2,FALSE))</f>
        <v/>
      </c>
      <c r="H150" s="1222" t="str">
        <f>VLOOKUP($A150,'Pre-Assessment Estimator'!$A$10:$Z$225,H$2,FALSE)</f>
        <v>-</v>
      </c>
      <c r="I150" s="576" t="str">
        <f>VLOOKUP($A150,'Pre-Assessment Estimator'!$A$10:$Z$225,I$2,FALSE)</f>
        <v>N/A</v>
      </c>
      <c r="J150" s="577" t="str">
        <f>IF(VLOOKUP($A150,'Pre-Assessment Estimator'!$A$10:$Z$225,J$2,FALSE)=0,"",VLOOKUP($A150,'Pre-Assessment Estimator'!$A$10:$Z$225,J$2,FALSE))</f>
        <v/>
      </c>
      <c r="K150" s="577" t="str">
        <f>IF(VLOOKUP($A150,'Pre-Assessment Estimator'!$A$10:$Z$225,K$2,FALSE)=0,"",VLOOKUP($A150,'Pre-Assessment Estimator'!$A$10:$Z$225,K$2,FALSE))</f>
        <v/>
      </c>
      <c r="L150" s="578" t="str">
        <f>IF(VLOOKUP($A150,'Pre-Assessment Estimator'!$A$10:$Z$225,L$2,FALSE)=0,"",VLOOKUP($A150,'Pre-Assessment Estimator'!$A$10:$Z$225,L$2,FALSE))</f>
        <v/>
      </c>
      <c r="M150" s="579"/>
      <c r="N150" s="580" t="str">
        <f>IF(VLOOKUP($A150,'Pre-Assessment Estimator'!$A$10:$Z$225,N$2,FALSE)=0,"",VLOOKUP($A150,'Pre-Assessment Estimator'!$A$10:$Z$225,N$2,FALSE))</f>
        <v/>
      </c>
      <c r="O150" s="575" t="str">
        <f>VLOOKUP($A150,'Pre-Assessment Estimator'!$A$10:$Z$225,O$2,FALSE)</f>
        <v>-</v>
      </c>
      <c r="P150" s="574" t="str">
        <f>VLOOKUP($A150,'Pre-Assessment Estimator'!$A$10:$Z$225,P$2,FALSE)</f>
        <v>N/A</v>
      </c>
      <c r="Q150" s="577" t="str">
        <f>IF(VLOOKUP($A150,'Pre-Assessment Estimator'!$A$10:$Z$225,Q$2,FALSE)=0,"",VLOOKUP($A150,'Pre-Assessment Estimator'!$A$10:$Z$225,Q$2,FALSE))</f>
        <v/>
      </c>
      <c r="R150" s="577" t="str">
        <f>IF(VLOOKUP($A150,'Pre-Assessment Estimator'!$A$10:$Z$225,R$2,FALSE)=0,"",VLOOKUP($A150,'Pre-Assessment Estimator'!$A$10:$Z$225,R$2,FALSE))</f>
        <v/>
      </c>
      <c r="S150" s="578" t="str">
        <f>IF(VLOOKUP($A150,'Pre-Assessment Estimator'!$A$10:$Z$225,S$2,FALSE)=0,"",VLOOKUP($A150,'Pre-Assessment Estimator'!$A$10:$Z$225,S$2,FALSE))</f>
        <v/>
      </c>
      <c r="T150" s="581"/>
      <c r="U150" s="580" t="str">
        <f>IF(VLOOKUP($A150,'Pre-Assessment Estimator'!$A$10:$Z$225,U$2,FALSE)=0,"",VLOOKUP($A150,'Pre-Assessment Estimator'!$A$10:$Z$225,U$2,FALSE))</f>
        <v/>
      </c>
      <c r="V150" s="575" t="str">
        <f>VLOOKUP($A150,'Pre-Assessment Estimator'!$A$10:$Z$225,V$2,FALSE)</f>
        <v>-</v>
      </c>
      <c r="W150" s="574" t="str">
        <f>VLOOKUP($A150,'Pre-Assessment Estimator'!$A$10:$Z$225,W$2,FALSE)</f>
        <v>N/A</v>
      </c>
      <c r="X150" s="577" t="str">
        <f>IF(VLOOKUP($A150,'Pre-Assessment Estimator'!$A$10:$Z$225,X$2,FALSE)=0,"",VLOOKUP($A150,'Pre-Assessment Estimator'!$A$10:$Z$225,X$2,FALSE))</f>
        <v/>
      </c>
      <c r="Y150" s="577" t="str">
        <f>IF(VLOOKUP($A150,'Pre-Assessment Estimator'!$A$10:$Z$225,Y$2,FALSE)=0,"",VLOOKUP($A150,'Pre-Assessment Estimator'!$A$10:$Z$225,Y$2,FALSE))</f>
        <v/>
      </c>
      <c r="Z150" s="370" t="str">
        <f>IF(VLOOKUP($A150,'Pre-Assessment Estimator'!$A$10:$Z$225,Z$2,FALSE)=0,"",VLOOKUP($A150,'Pre-Assessment Estimator'!$A$10:$Z$225,Z$2,FALSE))</f>
        <v/>
      </c>
      <c r="AA150" s="696">
        <v>140</v>
      </c>
      <c r="AB150" s="577"/>
      <c r="AF150" s="386">
        <f t="shared" si="3"/>
        <v>1</v>
      </c>
    </row>
    <row r="151" spans="1:32" x14ac:dyDescent="0.25">
      <c r="A151" s="823">
        <v>142</v>
      </c>
      <c r="B151" s="1236" t="s">
        <v>70</v>
      </c>
      <c r="C151" s="1236"/>
      <c r="D151" s="1259" t="str">
        <f>VLOOKUP($A151,'Pre-Assessment Estimator'!$A$10:$Z$225,D$2,FALSE)</f>
        <v>Wst 01</v>
      </c>
      <c r="E151" s="1260" t="str">
        <f>VLOOKUP($A151,'Pre-Assessment Estimator'!$A$10:$Z$225,E$2,FALSE)</f>
        <v>Amount of construction waste</v>
      </c>
      <c r="F151" s="574">
        <f>VLOOKUP($A151,'Pre-Assessment Estimator'!$A$10:$Z$225,F$2,FALSE)</f>
        <v>2</v>
      </c>
      <c r="G151" s="580" t="str">
        <f>IF(VLOOKUP($A151,'Pre-Assessment Estimator'!$A$10:$Z$225,G$2,FALSE)=0,"",VLOOKUP($A151,'Pre-Assessment Estimator'!$A$10:$Z$225,G$2,FALSE))</f>
        <v/>
      </c>
      <c r="H151" s="1222">
        <f>VLOOKUP($A151,'Pre-Assessment Estimator'!$A$10:$Z$225,H$2,FALSE)</f>
        <v>0</v>
      </c>
      <c r="I151" s="576" t="str">
        <f>VLOOKUP($A151,'Pre-Assessment Estimator'!$A$10:$Z$225,I$2,FALSE)</f>
        <v>Excellent</v>
      </c>
      <c r="J151" s="577" t="str">
        <f>IF(VLOOKUP($A151,'Pre-Assessment Estimator'!$A$10:$Z$225,J$2,FALSE)=0,"",VLOOKUP($A151,'Pre-Assessment Estimator'!$A$10:$Z$225,J$2,FALSE))</f>
        <v/>
      </c>
      <c r="K151" s="577" t="str">
        <f>IF(VLOOKUP($A151,'Pre-Assessment Estimator'!$A$10:$Z$225,K$2,FALSE)=0,"",VLOOKUP($A151,'Pre-Assessment Estimator'!$A$10:$Z$225,K$2,FALSE))</f>
        <v/>
      </c>
      <c r="L151" s="578" t="str">
        <f>IF(VLOOKUP($A151,'Pre-Assessment Estimator'!$A$10:$Z$225,L$2,FALSE)=0,"",VLOOKUP($A151,'Pre-Assessment Estimator'!$A$10:$Z$225,L$2,FALSE))</f>
        <v/>
      </c>
      <c r="M151" s="579"/>
      <c r="N151" s="580" t="str">
        <f>IF(VLOOKUP($A151,'Pre-Assessment Estimator'!$A$10:$Z$225,N$2,FALSE)=0,"",VLOOKUP($A151,'Pre-Assessment Estimator'!$A$10:$Z$225,N$2,FALSE))</f>
        <v/>
      </c>
      <c r="O151" s="575">
        <f>VLOOKUP($A151,'Pre-Assessment Estimator'!$A$10:$Z$225,O$2,FALSE)</f>
        <v>0</v>
      </c>
      <c r="P151" s="574" t="str">
        <f>VLOOKUP($A151,'Pre-Assessment Estimator'!$A$10:$Z$225,P$2,FALSE)</f>
        <v>Excellent</v>
      </c>
      <c r="Q151" s="577" t="str">
        <f>IF(VLOOKUP($A151,'Pre-Assessment Estimator'!$A$10:$Z$225,Q$2,FALSE)=0,"",VLOOKUP($A151,'Pre-Assessment Estimator'!$A$10:$Z$225,Q$2,FALSE))</f>
        <v/>
      </c>
      <c r="R151" s="577" t="str">
        <f>IF(VLOOKUP($A151,'Pre-Assessment Estimator'!$A$10:$Z$225,R$2,FALSE)=0,"",VLOOKUP($A151,'Pre-Assessment Estimator'!$A$10:$Z$225,R$2,FALSE))</f>
        <v/>
      </c>
      <c r="S151" s="578" t="str">
        <f>IF(VLOOKUP($A151,'Pre-Assessment Estimator'!$A$10:$Z$225,S$2,FALSE)=0,"",VLOOKUP($A151,'Pre-Assessment Estimator'!$A$10:$Z$225,S$2,FALSE))</f>
        <v/>
      </c>
      <c r="T151" s="581"/>
      <c r="U151" s="580" t="str">
        <f>IF(VLOOKUP($A151,'Pre-Assessment Estimator'!$A$10:$Z$225,U$2,FALSE)=0,"",VLOOKUP($A151,'Pre-Assessment Estimator'!$A$10:$Z$225,U$2,FALSE))</f>
        <v/>
      </c>
      <c r="V151" s="575">
        <f>VLOOKUP($A151,'Pre-Assessment Estimator'!$A$10:$Z$225,V$2,FALSE)</f>
        <v>0</v>
      </c>
      <c r="W151" s="574" t="str">
        <f>VLOOKUP($A151,'Pre-Assessment Estimator'!$A$10:$Z$225,W$2,FALSE)</f>
        <v>Excellent</v>
      </c>
      <c r="X151" s="577" t="str">
        <f>IF(VLOOKUP($A151,'Pre-Assessment Estimator'!$A$10:$Z$225,X$2,FALSE)=0,"",VLOOKUP($A151,'Pre-Assessment Estimator'!$A$10:$Z$225,X$2,FALSE))</f>
        <v/>
      </c>
      <c r="Y151" s="577" t="str">
        <f>IF(VLOOKUP($A151,'Pre-Assessment Estimator'!$A$10:$Z$225,Y$2,FALSE)=0,"",VLOOKUP($A151,'Pre-Assessment Estimator'!$A$10:$Z$225,Y$2,FALSE))</f>
        <v/>
      </c>
      <c r="Z151" s="370" t="str">
        <f>IF(VLOOKUP($A151,'Pre-Assessment Estimator'!$A$10:$Z$225,Z$2,FALSE)=0,"",VLOOKUP($A151,'Pre-Assessment Estimator'!$A$10:$Z$225,Z$2,FALSE))</f>
        <v/>
      </c>
      <c r="AA151" s="696">
        <v>141</v>
      </c>
      <c r="AB151" s="577"/>
      <c r="AF151" s="386">
        <f t="shared" si="3"/>
        <v>1</v>
      </c>
    </row>
    <row r="152" spans="1:32" x14ac:dyDescent="0.25">
      <c r="A152" s="823">
        <v>143</v>
      </c>
      <c r="B152" s="1236" t="s">
        <v>70</v>
      </c>
      <c r="C152" s="1236"/>
      <c r="D152" s="1259" t="str">
        <f>VLOOKUP($A152,'Pre-Assessment Estimator'!$A$10:$Z$225,D$2,FALSE)</f>
        <v>Wst 01</v>
      </c>
      <c r="E152" s="1260" t="str">
        <f>VLOOKUP($A152,'Pre-Assessment Estimator'!$A$10:$Z$225,E$2,FALSE)</f>
        <v>Waste sorting, reuse and recycling</v>
      </c>
      <c r="F152" s="574">
        <f>VLOOKUP($A152,'Pre-Assessment Estimator'!$A$10:$Z$225,F$2,FALSE)</f>
        <v>2</v>
      </c>
      <c r="G152" s="580" t="str">
        <f>IF(VLOOKUP($A152,'Pre-Assessment Estimator'!$A$10:$Z$225,G$2,FALSE)=0,"",VLOOKUP($A152,'Pre-Assessment Estimator'!$A$10:$Z$225,G$2,FALSE))</f>
        <v/>
      </c>
      <c r="H152" s="1222">
        <f>VLOOKUP($A152,'Pre-Assessment Estimator'!$A$10:$Z$225,H$2,FALSE)</f>
        <v>0</v>
      </c>
      <c r="I152" s="576" t="str">
        <f>VLOOKUP($A152,'Pre-Assessment Estimator'!$A$10:$Z$225,I$2,FALSE)</f>
        <v>Unclassified</v>
      </c>
      <c r="J152" s="577" t="str">
        <f>IF(VLOOKUP($A152,'Pre-Assessment Estimator'!$A$10:$Z$225,J$2,FALSE)=0,"",VLOOKUP($A152,'Pre-Assessment Estimator'!$A$10:$Z$225,J$2,FALSE))</f>
        <v/>
      </c>
      <c r="K152" s="577" t="str">
        <f>IF(VLOOKUP($A152,'Pre-Assessment Estimator'!$A$10:$Z$225,K$2,FALSE)=0,"",VLOOKUP($A152,'Pre-Assessment Estimator'!$A$10:$Z$225,K$2,FALSE))</f>
        <v/>
      </c>
      <c r="L152" s="578" t="str">
        <f>IF(VLOOKUP($A152,'Pre-Assessment Estimator'!$A$10:$Z$225,L$2,FALSE)=0,"",VLOOKUP($A152,'Pre-Assessment Estimator'!$A$10:$Z$225,L$2,FALSE))</f>
        <v/>
      </c>
      <c r="M152" s="579"/>
      <c r="N152" s="580" t="str">
        <f>IF(VLOOKUP($A152,'Pre-Assessment Estimator'!$A$10:$Z$225,N$2,FALSE)=0,"",VLOOKUP($A152,'Pre-Assessment Estimator'!$A$10:$Z$225,N$2,FALSE))</f>
        <v/>
      </c>
      <c r="O152" s="575">
        <f>VLOOKUP($A152,'Pre-Assessment Estimator'!$A$10:$Z$225,O$2,FALSE)</f>
        <v>0</v>
      </c>
      <c r="P152" s="574" t="str">
        <f>VLOOKUP($A152,'Pre-Assessment Estimator'!$A$10:$Z$225,P$2,FALSE)</f>
        <v>Unclassified</v>
      </c>
      <c r="Q152" s="577" t="str">
        <f>IF(VLOOKUP($A152,'Pre-Assessment Estimator'!$A$10:$Z$225,Q$2,FALSE)=0,"",VLOOKUP($A152,'Pre-Assessment Estimator'!$A$10:$Z$225,Q$2,FALSE))</f>
        <v/>
      </c>
      <c r="R152" s="577" t="str">
        <f>IF(VLOOKUP($A152,'Pre-Assessment Estimator'!$A$10:$Z$225,R$2,FALSE)=0,"",VLOOKUP($A152,'Pre-Assessment Estimator'!$A$10:$Z$225,R$2,FALSE))</f>
        <v/>
      </c>
      <c r="S152" s="578" t="str">
        <f>IF(VLOOKUP($A152,'Pre-Assessment Estimator'!$A$10:$Z$225,S$2,FALSE)=0,"",VLOOKUP($A152,'Pre-Assessment Estimator'!$A$10:$Z$225,S$2,FALSE))</f>
        <v/>
      </c>
      <c r="T152" s="581"/>
      <c r="U152" s="580" t="str">
        <f>IF(VLOOKUP($A152,'Pre-Assessment Estimator'!$A$10:$Z$225,U$2,FALSE)=0,"",VLOOKUP($A152,'Pre-Assessment Estimator'!$A$10:$Z$225,U$2,FALSE))</f>
        <v/>
      </c>
      <c r="V152" s="575">
        <f>VLOOKUP($A152,'Pre-Assessment Estimator'!$A$10:$Z$225,V$2,FALSE)</f>
        <v>0</v>
      </c>
      <c r="W152" s="574" t="str">
        <f>VLOOKUP($A152,'Pre-Assessment Estimator'!$A$10:$Z$225,W$2,FALSE)</f>
        <v>Unclassified</v>
      </c>
      <c r="X152" s="577" t="str">
        <f>IF(VLOOKUP($A152,'Pre-Assessment Estimator'!$A$10:$Z$225,X$2,FALSE)=0,"",VLOOKUP($A152,'Pre-Assessment Estimator'!$A$10:$Z$225,X$2,FALSE))</f>
        <v/>
      </c>
      <c r="Y152" s="577" t="str">
        <f>IF(VLOOKUP($A152,'Pre-Assessment Estimator'!$A$10:$Z$225,Y$2,FALSE)=0,"",VLOOKUP($A152,'Pre-Assessment Estimator'!$A$10:$Z$225,Y$2,FALSE))</f>
        <v/>
      </c>
      <c r="Z152" s="370" t="str">
        <f>IF(VLOOKUP($A152,'Pre-Assessment Estimator'!$A$10:$Z$225,Z$2,FALSE)=0,"",VLOOKUP($A152,'Pre-Assessment Estimator'!$A$10:$Z$225,Z$2,FALSE))</f>
        <v/>
      </c>
      <c r="AA152" s="696">
        <v>142</v>
      </c>
      <c r="AB152" s="577"/>
      <c r="AF152" s="386">
        <f t="shared" si="3"/>
        <v>1</v>
      </c>
    </row>
    <row r="153" spans="1:32" x14ac:dyDescent="0.25">
      <c r="A153" s="823">
        <v>144</v>
      </c>
      <c r="B153" s="1236" t="s">
        <v>70</v>
      </c>
      <c r="C153" s="1236"/>
      <c r="D153" s="1259" t="str">
        <f>VLOOKUP($A153,'Pre-Assessment Estimator'!$A$10:$Z$225,D$2,FALSE)</f>
        <v>Wst 01</v>
      </c>
      <c r="E153" s="1262" t="str">
        <f>VLOOKUP($A153,'Pre-Assessment Estimator'!$A$10:$Z$225,E$2,FALSE)</f>
        <v>EU taxonomy requirement: criterion 4, waste sorting ≥70%</v>
      </c>
      <c r="F153" s="574" t="str">
        <f>VLOOKUP($A153,'Pre-Assessment Estimator'!$A$10:$Z$225,F$2,FALSE)</f>
        <v>Yes/No</v>
      </c>
      <c r="G153" s="580" t="str">
        <f>IF(VLOOKUP($A153,'Pre-Assessment Estimator'!$A$10:$Z$225,G$2,FALSE)=0,"",VLOOKUP($A153,'Pre-Assessment Estimator'!$A$10:$Z$225,G$2,FALSE))</f>
        <v/>
      </c>
      <c r="H153" s="1222" t="str">
        <f>VLOOKUP($A153,'Pre-Assessment Estimator'!$A$10:$Z$225,H$2,FALSE)</f>
        <v>-</v>
      </c>
      <c r="I153" s="576" t="str">
        <f>VLOOKUP($A153,'Pre-Assessment Estimator'!$A$10:$Z$225,I$2,FALSE)</f>
        <v>Unclassified</v>
      </c>
      <c r="J153" s="577" t="str">
        <f>IF(VLOOKUP($A153,'Pre-Assessment Estimator'!$A$10:$Z$225,J$2,FALSE)=0,"",VLOOKUP($A153,'Pre-Assessment Estimator'!$A$10:$Z$225,J$2,FALSE))</f>
        <v/>
      </c>
      <c r="K153" s="577" t="str">
        <f>IF(VLOOKUP($A153,'Pre-Assessment Estimator'!$A$10:$Z$225,K$2,FALSE)=0,"",VLOOKUP($A153,'Pre-Assessment Estimator'!$A$10:$Z$225,K$2,FALSE))</f>
        <v/>
      </c>
      <c r="L153" s="578" t="str">
        <f>IF(VLOOKUP($A153,'Pre-Assessment Estimator'!$A$10:$Z$225,L$2,FALSE)=0,"",VLOOKUP($A153,'Pre-Assessment Estimator'!$A$10:$Z$225,L$2,FALSE))</f>
        <v/>
      </c>
      <c r="M153" s="579"/>
      <c r="N153" s="580" t="str">
        <f>IF(VLOOKUP($A153,'Pre-Assessment Estimator'!$A$10:$Z$225,N$2,FALSE)=0,"",VLOOKUP($A153,'Pre-Assessment Estimator'!$A$10:$Z$225,N$2,FALSE))</f>
        <v/>
      </c>
      <c r="O153" s="575" t="str">
        <f>VLOOKUP($A153,'Pre-Assessment Estimator'!$A$10:$Z$225,O$2,FALSE)</f>
        <v>-</v>
      </c>
      <c r="P153" s="574" t="str">
        <f>VLOOKUP($A153,'Pre-Assessment Estimator'!$A$10:$Z$225,P$2,FALSE)</f>
        <v>Unclassified</v>
      </c>
      <c r="Q153" s="577" t="str">
        <f>IF(VLOOKUP($A153,'Pre-Assessment Estimator'!$A$10:$Z$225,Q$2,FALSE)=0,"",VLOOKUP($A153,'Pre-Assessment Estimator'!$A$10:$Z$225,Q$2,FALSE))</f>
        <v/>
      </c>
      <c r="R153" s="577" t="str">
        <f>IF(VLOOKUP($A153,'Pre-Assessment Estimator'!$A$10:$Z$225,R$2,FALSE)=0,"",VLOOKUP($A153,'Pre-Assessment Estimator'!$A$10:$Z$225,R$2,FALSE))</f>
        <v/>
      </c>
      <c r="S153" s="578" t="str">
        <f>IF(VLOOKUP($A153,'Pre-Assessment Estimator'!$A$10:$Z$225,S$2,FALSE)=0,"",VLOOKUP($A153,'Pre-Assessment Estimator'!$A$10:$Z$225,S$2,FALSE))</f>
        <v/>
      </c>
      <c r="T153" s="581"/>
      <c r="U153" s="580" t="str">
        <f>IF(VLOOKUP($A153,'Pre-Assessment Estimator'!$A$10:$Z$225,U$2,FALSE)=0,"",VLOOKUP($A153,'Pre-Assessment Estimator'!$A$10:$Z$225,U$2,FALSE))</f>
        <v/>
      </c>
      <c r="V153" s="575" t="str">
        <f>VLOOKUP($A153,'Pre-Assessment Estimator'!$A$10:$Z$225,V$2,FALSE)</f>
        <v>-</v>
      </c>
      <c r="W153" s="574" t="str">
        <f>VLOOKUP($A153,'Pre-Assessment Estimator'!$A$10:$Z$225,W$2,FALSE)</f>
        <v>Unclassified</v>
      </c>
      <c r="X153" s="577" t="str">
        <f>IF(VLOOKUP($A153,'Pre-Assessment Estimator'!$A$10:$Z$225,X$2,FALSE)=0,"",VLOOKUP($A153,'Pre-Assessment Estimator'!$A$10:$Z$225,X$2,FALSE))</f>
        <v/>
      </c>
      <c r="Y153" s="577" t="str">
        <f>IF(VLOOKUP($A153,'Pre-Assessment Estimator'!$A$10:$Z$225,Y$2,FALSE)=0,"",VLOOKUP($A153,'Pre-Assessment Estimator'!$A$10:$Z$225,Y$2,FALSE))</f>
        <v/>
      </c>
      <c r="Z153" s="370" t="str">
        <f>IF(VLOOKUP($A153,'Pre-Assessment Estimator'!$A$10:$Z$225,Z$2,FALSE)=0,"",VLOOKUP($A153,'Pre-Assessment Estimator'!$A$10:$Z$225,Z$2,FALSE))</f>
        <v/>
      </c>
      <c r="AA153" s="696">
        <v>143</v>
      </c>
      <c r="AB153" s="577"/>
      <c r="AF153" s="386">
        <f t="shared" si="3"/>
        <v>1</v>
      </c>
    </row>
    <row r="154" spans="1:32" x14ac:dyDescent="0.25">
      <c r="A154" s="823">
        <v>145</v>
      </c>
      <c r="B154" s="1236" t="s">
        <v>70</v>
      </c>
      <c r="C154" s="1236"/>
      <c r="D154" s="1258" t="str">
        <f>VLOOKUP($A154,'Pre-Assessment Estimator'!$A$10:$Z$225,D$2,FALSE)</f>
        <v>Wst 03a</v>
      </c>
      <c r="E154" s="1258" t="str">
        <f>VLOOKUP($A154,'Pre-Assessment Estimator'!$A$10:$Z$225,E$2,FALSE)</f>
        <v>Wst 03a Operational waste</v>
      </c>
      <c r="F154" s="574">
        <f>VLOOKUP($A154,'Pre-Assessment Estimator'!$A$10:$Z$225,F$2,FALSE)</f>
        <v>1</v>
      </c>
      <c r="G154" s="580" t="str">
        <f>IF(VLOOKUP($A154,'Pre-Assessment Estimator'!$A$10:$Z$225,G$2,FALSE)=0,"",VLOOKUP($A154,'Pre-Assessment Estimator'!$A$10:$Z$225,G$2,FALSE))</f>
        <v/>
      </c>
      <c r="H154" s="1222" t="str">
        <f>VLOOKUP($A154,'Pre-Assessment Estimator'!$A$10:$Z$225,H$2,FALSE)</f>
        <v>0 c. 0 %</v>
      </c>
      <c r="I154" s="576" t="str">
        <f>VLOOKUP($A154,'Pre-Assessment Estimator'!$A$10:$Z$225,I$2,FALSE)</f>
        <v>N/A</v>
      </c>
      <c r="J154" s="577" t="str">
        <f>IF(VLOOKUP($A154,'Pre-Assessment Estimator'!$A$10:$Z$225,J$2,FALSE)=0,"",VLOOKUP($A154,'Pre-Assessment Estimator'!$A$10:$Z$225,J$2,FALSE))</f>
        <v/>
      </c>
      <c r="K154" s="577" t="str">
        <f>IF(VLOOKUP($A154,'Pre-Assessment Estimator'!$A$10:$Z$225,K$2,FALSE)=0,"",VLOOKUP($A154,'Pre-Assessment Estimator'!$A$10:$Z$225,K$2,FALSE))</f>
        <v/>
      </c>
      <c r="L154" s="578" t="str">
        <f>IF(VLOOKUP($A154,'Pre-Assessment Estimator'!$A$10:$Z$225,L$2,FALSE)=0,"",VLOOKUP($A154,'Pre-Assessment Estimator'!$A$10:$Z$225,L$2,FALSE))</f>
        <v/>
      </c>
      <c r="M154" s="579"/>
      <c r="N154" s="580" t="str">
        <f>IF(VLOOKUP($A154,'Pre-Assessment Estimator'!$A$10:$Z$225,N$2,FALSE)=0,"",VLOOKUP($A154,'Pre-Assessment Estimator'!$A$10:$Z$225,N$2,FALSE))</f>
        <v/>
      </c>
      <c r="O154" s="575" t="str">
        <f>VLOOKUP($A154,'Pre-Assessment Estimator'!$A$10:$Z$225,O$2,FALSE)</f>
        <v>0 c. 0 %</v>
      </c>
      <c r="P154" s="574" t="str">
        <f>VLOOKUP($A154,'Pre-Assessment Estimator'!$A$10:$Z$225,P$2,FALSE)</f>
        <v>N/A</v>
      </c>
      <c r="Q154" s="577" t="str">
        <f>IF(VLOOKUP($A154,'Pre-Assessment Estimator'!$A$10:$Z$225,Q$2,FALSE)=0,"",VLOOKUP($A154,'Pre-Assessment Estimator'!$A$10:$Z$225,Q$2,FALSE))</f>
        <v/>
      </c>
      <c r="R154" s="577" t="str">
        <f>IF(VLOOKUP($A154,'Pre-Assessment Estimator'!$A$10:$Z$225,R$2,FALSE)=0,"",VLOOKUP($A154,'Pre-Assessment Estimator'!$A$10:$Z$225,R$2,FALSE))</f>
        <v/>
      </c>
      <c r="S154" s="578" t="str">
        <f>IF(VLOOKUP($A154,'Pre-Assessment Estimator'!$A$10:$Z$225,S$2,FALSE)=0,"",VLOOKUP($A154,'Pre-Assessment Estimator'!$A$10:$Z$225,S$2,FALSE))</f>
        <v/>
      </c>
      <c r="T154" s="581"/>
      <c r="U154" s="580" t="str">
        <f>IF(VLOOKUP($A154,'Pre-Assessment Estimator'!$A$10:$Z$225,U$2,FALSE)=0,"",VLOOKUP($A154,'Pre-Assessment Estimator'!$A$10:$Z$225,U$2,FALSE))</f>
        <v/>
      </c>
      <c r="V154" s="575" t="str">
        <f>VLOOKUP($A154,'Pre-Assessment Estimator'!$A$10:$Z$225,V$2,FALSE)</f>
        <v>0 c. 0 %</v>
      </c>
      <c r="W154" s="574" t="str">
        <f>VLOOKUP($A154,'Pre-Assessment Estimator'!$A$10:$Z$225,W$2,FALSE)</f>
        <v>N/A</v>
      </c>
      <c r="X154" s="577" t="str">
        <f>IF(VLOOKUP($A154,'Pre-Assessment Estimator'!$A$10:$Z$225,X$2,FALSE)=0,"",VLOOKUP($A154,'Pre-Assessment Estimator'!$A$10:$Z$225,X$2,FALSE))</f>
        <v/>
      </c>
      <c r="Y154" s="577" t="str">
        <f>IF(VLOOKUP($A154,'Pre-Assessment Estimator'!$A$10:$Z$225,Y$2,FALSE)=0,"",VLOOKUP($A154,'Pre-Assessment Estimator'!$A$10:$Z$225,Y$2,FALSE))</f>
        <v/>
      </c>
      <c r="Z154" s="370" t="str">
        <f>IF(VLOOKUP($A154,'Pre-Assessment Estimator'!$A$10:$Z$225,Z$2,FALSE)=0,"",VLOOKUP($A154,'Pre-Assessment Estimator'!$A$10:$Z$225,Z$2,FALSE))</f>
        <v/>
      </c>
      <c r="AA154" s="696">
        <v>144</v>
      </c>
      <c r="AB154" s="577"/>
      <c r="AF154" s="386">
        <f t="shared" si="3"/>
        <v>1</v>
      </c>
    </row>
    <row r="155" spans="1:32" x14ac:dyDescent="0.25">
      <c r="A155" s="823">
        <v>146</v>
      </c>
      <c r="B155" s="1236" t="s">
        <v>70</v>
      </c>
      <c r="C155" s="1236"/>
      <c r="D155" s="1259" t="str">
        <f>VLOOKUP($A155,'Pre-Assessment Estimator'!$A$10:$Z$225,D$2,FALSE)</f>
        <v>Wst 03a</v>
      </c>
      <c r="E155" s="1260" t="str">
        <f>VLOOKUP($A155,'Pre-Assessment Estimator'!$A$10:$Z$225,E$2,FALSE)</f>
        <v>Operational waste</v>
      </c>
      <c r="F155" s="574">
        <f>VLOOKUP($A155,'Pre-Assessment Estimator'!$A$10:$Z$225,F$2,FALSE)</f>
        <v>1</v>
      </c>
      <c r="G155" s="580" t="str">
        <f>IF(VLOOKUP($A155,'Pre-Assessment Estimator'!$A$10:$Z$225,G$2,FALSE)=0,"",VLOOKUP($A155,'Pre-Assessment Estimator'!$A$10:$Z$225,G$2,FALSE))</f>
        <v/>
      </c>
      <c r="H155" s="1222">
        <f>VLOOKUP($A155,'Pre-Assessment Estimator'!$A$10:$Z$225,H$2,FALSE)</f>
        <v>0</v>
      </c>
      <c r="I155" s="576" t="str">
        <f>VLOOKUP($A155,'Pre-Assessment Estimator'!$A$10:$Z$225,I$2,FALSE)</f>
        <v>Very Good</v>
      </c>
      <c r="J155" s="577" t="str">
        <f>IF(VLOOKUP($A155,'Pre-Assessment Estimator'!$A$10:$Z$225,J$2,FALSE)=0,"",VLOOKUP($A155,'Pre-Assessment Estimator'!$A$10:$Z$225,J$2,FALSE))</f>
        <v/>
      </c>
      <c r="K155" s="577" t="str">
        <f>IF(VLOOKUP($A155,'Pre-Assessment Estimator'!$A$10:$Z$225,K$2,FALSE)=0,"",VLOOKUP($A155,'Pre-Assessment Estimator'!$A$10:$Z$225,K$2,FALSE))</f>
        <v/>
      </c>
      <c r="L155" s="578" t="str">
        <f>IF(VLOOKUP($A155,'Pre-Assessment Estimator'!$A$10:$Z$225,L$2,FALSE)=0,"",VLOOKUP($A155,'Pre-Assessment Estimator'!$A$10:$Z$225,L$2,FALSE))</f>
        <v/>
      </c>
      <c r="M155" s="579"/>
      <c r="N155" s="580" t="str">
        <f>IF(VLOOKUP($A155,'Pre-Assessment Estimator'!$A$10:$Z$225,N$2,FALSE)=0,"",VLOOKUP($A155,'Pre-Assessment Estimator'!$A$10:$Z$225,N$2,FALSE))</f>
        <v/>
      </c>
      <c r="O155" s="575">
        <f>VLOOKUP($A155,'Pre-Assessment Estimator'!$A$10:$Z$225,O$2,FALSE)</f>
        <v>0</v>
      </c>
      <c r="P155" s="574" t="str">
        <f>VLOOKUP($A155,'Pre-Assessment Estimator'!$A$10:$Z$225,P$2,FALSE)</f>
        <v>Very Good</v>
      </c>
      <c r="Q155" s="577" t="str">
        <f>IF(VLOOKUP($A155,'Pre-Assessment Estimator'!$A$10:$Z$225,Q$2,FALSE)=0,"",VLOOKUP($A155,'Pre-Assessment Estimator'!$A$10:$Z$225,Q$2,FALSE))</f>
        <v/>
      </c>
      <c r="R155" s="577" t="str">
        <f>IF(VLOOKUP($A155,'Pre-Assessment Estimator'!$A$10:$Z$225,R$2,FALSE)=0,"",VLOOKUP($A155,'Pre-Assessment Estimator'!$A$10:$Z$225,R$2,FALSE))</f>
        <v/>
      </c>
      <c r="S155" s="578" t="str">
        <f>IF(VLOOKUP($A155,'Pre-Assessment Estimator'!$A$10:$Z$225,S$2,FALSE)=0,"",VLOOKUP($A155,'Pre-Assessment Estimator'!$A$10:$Z$225,S$2,FALSE))</f>
        <v/>
      </c>
      <c r="T155" s="581"/>
      <c r="U155" s="580" t="str">
        <f>IF(VLOOKUP($A155,'Pre-Assessment Estimator'!$A$10:$Z$225,U$2,FALSE)=0,"",VLOOKUP($A155,'Pre-Assessment Estimator'!$A$10:$Z$225,U$2,FALSE))</f>
        <v/>
      </c>
      <c r="V155" s="575">
        <f>VLOOKUP($A155,'Pre-Assessment Estimator'!$A$10:$Z$225,V$2,FALSE)</f>
        <v>0</v>
      </c>
      <c r="W155" s="574" t="str">
        <f>VLOOKUP($A155,'Pre-Assessment Estimator'!$A$10:$Z$225,W$2,FALSE)</f>
        <v>Very Good</v>
      </c>
      <c r="X155" s="577" t="str">
        <f>IF(VLOOKUP($A155,'Pre-Assessment Estimator'!$A$10:$Z$225,X$2,FALSE)=0,"",VLOOKUP($A155,'Pre-Assessment Estimator'!$A$10:$Z$225,X$2,FALSE))</f>
        <v/>
      </c>
      <c r="Y155" s="577" t="str">
        <f>IF(VLOOKUP($A155,'Pre-Assessment Estimator'!$A$10:$Z$225,Y$2,FALSE)=0,"",VLOOKUP($A155,'Pre-Assessment Estimator'!$A$10:$Z$225,Y$2,FALSE))</f>
        <v/>
      </c>
      <c r="Z155" s="370" t="str">
        <f>IF(VLOOKUP($A155,'Pre-Assessment Estimator'!$A$10:$Z$225,Z$2,FALSE)=0,"",VLOOKUP($A155,'Pre-Assessment Estimator'!$A$10:$Z$225,Z$2,FALSE))</f>
        <v/>
      </c>
      <c r="AA155" s="696">
        <v>145</v>
      </c>
      <c r="AB155" s="577"/>
      <c r="AF155" s="386">
        <f t="shared" si="3"/>
        <v>1</v>
      </c>
    </row>
    <row r="156" spans="1:32" x14ac:dyDescent="0.25">
      <c r="A156" s="823">
        <v>147</v>
      </c>
      <c r="B156" s="1236" t="s">
        <v>70</v>
      </c>
      <c r="C156" s="1236"/>
      <c r="D156" s="1258" t="str">
        <f>VLOOKUP($A156,'Pre-Assessment Estimator'!$A$10:$Z$225,D$2,FALSE)</f>
        <v>Wst 03b</v>
      </c>
      <c r="E156" s="1258" t="str">
        <f>VLOOKUP($A156,'Pre-Assessment Estimator'!$A$10:$Z$225,E$2,FALSE)</f>
        <v>Wst 03b Operational waste</v>
      </c>
      <c r="F156" s="574">
        <f>VLOOKUP($A156,'Pre-Assessment Estimator'!$A$10:$Z$225,F$2,FALSE)</f>
        <v>0</v>
      </c>
      <c r="G156" s="580" t="str">
        <f>IF(VLOOKUP($A156,'Pre-Assessment Estimator'!$A$10:$Z$225,G$2,FALSE)=0,"",VLOOKUP($A156,'Pre-Assessment Estimator'!$A$10:$Z$225,G$2,FALSE))</f>
        <v/>
      </c>
      <c r="H156" s="1222" t="str">
        <f>VLOOKUP($A156,'Pre-Assessment Estimator'!$A$10:$Z$225,H$2,FALSE)</f>
        <v>0 c. 0 %</v>
      </c>
      <c r="I156" s="576" t="str">
        <f>VLOOKUP($A156,'Pre-Assessment Estimator'!$A$10:$Z$225,I$2,FALSE)</f>
        <v>N/A</v>
      </c>
      <c r="J156" s="577" t="str">
        <f>IF(VLOOKUP($A156,'Pre-Assessment Estimator'!$A$10:$Z$225,J$2,FALSE)=0,"",VLOOKUP($A156,'Pre-Assessment Estimator'!$A$10:$Z$225,J$2,FALSE))</f>
        <v/>
      </c>
      <c r="K156" s="577" t="str">
        <f>IF(VLOOKUP($A156,'Pre-Assessment Estimator'!$A$10:$Z$225,K$2,FALSE)=0,"",VLOOKUP($A156,'Pre-Assessment Estimator'!$A$10:$Z$225,K$2,FALSE))</f>
        <v/>
      </c>
      <c r="L156" s="578" t="str">
        <f>IF(VLOOKUP($A156,'Pre-Assessment Estimator'!$A$10:$Z$225,L$2,FALSE)=0,"",VLOOKUP($A156,'Pre-Assessment Estimator'!$A$10:$Z$225,L$2,FALSE))</f>
        <v/>
      </c>
      <c r="M156" s="579"/>
      <c r="N156" s="580" t="str">
        <f>IF(VLOOKUP($A156,'Pre-Assessment Estimator'!$A$10:$Z$225,N$2,FALSE)=0,"",VLOOKUP($A156,'Pre-Assessment Estimator'!$A$10:$Z$225,N$2,FALSE))</f>
        <v/>
      </c>
      <c r="O156" s="575" t="str">
        <f>VLOOKUP($A156,'Pre-Assessment Estimator'!$A$10:$Z$225,O$2,FALSE)</f>
        <v>0 c. 0 %</v>
      </c>
      <c r="P156" s="574" t="str">
        <f>VLOOKUP($A156,'Pre-Assessment Estimator'!$A$10:$Z$225,P$2,FALSE)</f>
        <v>N/A</v>
      </c>
      <c r="Q156" s="577" t="str">
        <f>IF(VLOOKUP($A156,'Pre-Assessment Estimator'!$A$10:$Z$225,Q$2,FALSE)=0,"",VLOOKUP($A156,'Pre-Assessment Estimator'!$A$10:$Z$225,Q$2,FALSE))</f>
        <v/>
      </c>
      <c r="R156" s="577" t="str">
        <f>IF(VLOOKUP($A156,'Pre-Assessment Estimator'!$A$10:$Z$225,R$2,FALSE)=0,"",VLOOKUP($A156,'Pre-Assessment Estimator'!$A$10:$Z$225,R$2,FALSE))</f>
        <v/>
      </c>
      <c r="S156" s="578" t="str">
        <f>IF(VLOOKUP($A156,'Pre-Assessment Estimator'!$A$10:$Z$225,S$2,FALSE)=0,"",VLOOKUP($A156,'Pre-Assessment Estimator'!$A$10:$Z$225,S$2,FALSE))</f>
        <v/>
      </c>
      <c r="T156" s="581"/>
      <c r="U156" s="580" t="str">
        <f>IF(VLOOKUP($A156,'Pre-Assessment Estimator'!$A$10:$Z$225,U$2,FALSE)=0,"",VLOOKUP($A156,'Pre-Assessment Estimator'!$A$10:$Z$225,U$2,FALSE))</f>
        <v/>
      </c>
      <c r="V156" s="575" t="str">
        <f>VLOOKUP($A156,'Pre-Assessment Estimator'!$A$10:$Z$225,V$2,FALSE)</f>
        <v>0 c. 0 %</v>
      </c>
      <c r="W156" s="574" t="str">
        <f>VLOOKUP($A156,'Pre-Assessment Estimator'!$A$10:$Z$225,W$2,FALSE)</f>
        <v>N/A</v>
      </c>
      <c r="X156" s="577" t="str">
        <f>IF(VLOOKUP($A156,'Pre-Assessment Estimator'!$A$10:$Z$225,X$2,FALSE)=0,"",VLOOKUP($A156,'Pre-Assessment Estimator'!$A$10:$Z$225,X$2,FALSE))</f>
        <v/>
      </c>
      <c r="Y156" s="577" t="str">
        <f>IF(VLOOKUP($A156,'Pre-Assessment Estimator'!$A$10:$Z$225,Y$2,FALSE)=0,"",VLOOKUP($A156,'Pre-Assessment Estimator'!$A$10:$Z$225,Y$2,FALSE))</f>
        <v/>
      </c>
      <c r="Z156" s="370" t="str">
        <f>IF(VLOOKUP($A156,'Pre-Assessment Estimator'!$A$10:$Z$225,Z$2,FALSE)=0,"",VLOOKUP($A156,'Pre-Assessment Estimator'!$A$10:$Z$225,Z$2,FALSE))</f>
        <v/>
      </c>
      <c r="AA156" s="696">
        <v>146</v>
      </c>
      <c r="AB156" s="577"/>
      <c r="AF156" s="386">
        <f t="shared" si="3"/>
        <v>2</v>
      </c>
    </row>
    <row r="157" spans="1:32" x14ac:dyDescent="0.25">
      <c r="A157" s="823">
        <v>148</v>
      </c>
      <c r="B157" s="1236" t="s">
        <v>70</v>
      </c>
      <c r="C157" s="1236"/>
      <c r="D157" s="1259" t="str">
        <f>VLOOKUP($A157,'Pre-Assessment Estimator'!$A$10:$Z$225,D$2,FALSE)</f>
        <v>Wst 03b</v>
      </c>
      <c r="E157" s="1260" t="str">
        <f>VLOOKUP($A157,'Pre-Assessment Estimator'!$A$10:$Z$225,E$2,FALSE)</f>
        <v>Sorting of waste</v>
      </c>
      <c r="F157" s="574">
        <f>VLOOKUP($A157,'Pre-Assessment Estimator'!$A$10:$Z$225,F$2,FALSE)</f>
        <v>0</v>
      </c>
      <c r="G157" s="580" t="str">
        <f>IF(VLOOKUP($A157,'Pre-Assessment Estimator'!$A$10:$Z$225,G$2,FALSE)=0,"",VLOOKUP($A157,'Pre-Assessment Estimator'!$A$10:$Z$225,G$2,FALSE))</f>
        <v/>
      </c>
      <c r="H157" s="1222">
        <f>VLOOKUP($A157,'Pre-Assessment Estimator'!$A$10:$Z$225,H$2,FALSE)</f>
        <v>0</v>
      </c>
      <c r="I157" s="576" t="str">
        <f>VLOOKUP($A157,'Pre-Assessment Estimator'!$A$10:$Z$225,I$2,FALSE)</f>
        <v>N/A</v>
      </c>
      <c r="J157" s="577" t="str">
        <f>IF(VLOOKUP($A157,'Pre-Assessment Estimator'!$A$10:$Z$225,J$2,FALSE)=0,"",VLOOKUP($A157,'Pre-Assessment Estimator'!$A$10:$Z$225,J$2,FALSE))</f>
        <v/>
      </c>
      <c r="K157" s="577" t="str">
        <f>IF(VLOOKUP($A157,'Pre-Assessment Estimator'!$A$10:$Z$225,K$2,FALSE)=0,"",VLOOKUP($A157,'Pre-Assessment Estimator'!$A$10:$Z$225,K$2,FALSE))</f>
        <v/>
      </c>
      <c r="L157" s="578" t="str">
        <f>IF(VLOOKUP($A157,'Pre-Assessment Estimator'!$A$10:$Z$225,L$2,FALSE)=0,"",VLOOKUP($A157,'Pre-Assessment Estimator'!$A$10:$Z$225,L$2,FALSE))</f>
        <v/>
      </c>
      <c r="M157" s="579"/>
      <c r="N157" s="580" t="str">
        <f>IF(VLOOKUP($A157,'Pre-Assessment Estimator'!$A$10:$Z$225,N$2,FALSE)=0,"",VLOOKUP($A157,'Pre-Assessment Estimator'!$A$10:$Z$225,N$2,FALSE))</f>
        <v/>
      </c>
      <c r="O157" s="575">
        <f>VLOOKUP($A157,'Pre-Assessment Estimator'!$A$10:$Z$225,O$2,FALSE)</f>
        <v>0</v>
      </c>
      <c r="P157" s="574" t="str">
        <f>VLOOKUP($A157,'Pre-Assessment Estimator'!$A$10:$Z$225,P$2,FALSE)</f>
        <v>N/A</v>
      </c>
      <c r="Q157" s="577" t="str">
        <f>IF(VLOOKUP($A157,'Pre-Assessment Estimator'!$A$10:$Z$225,Q$2,FALSE)=0,"",VLOOKUP($A157,'Pre-Assessment Estimator'!$A$10:$Z$225,Q$2,FALSE))</f>
        <v/>
      </c>
      <c r="R157" s="577" t="str">
        <f>IF(VLOOKUP($A157,'Pre-Assessment Estimator'!$A$10:$Z$225,R$2,FALSE)=0,"",VLOOKUP($A157,'Pre-Assessment Estimator'!$A$10:$Z$225,R$2,FALSE))</f>
        <v/>
      </c>
      <c r="S157" s="578" t="str">
        <f>IF(VLOOKUP($A157,'Pre-Assessment Estimator'!$A$10:$Z$225,S$2,FALSE)=0,"",VLOOKUP($A157,'Pre-Assessment Estimator'!$A$10:$Z$225,S$2,FALSE))</f>
        <v/>
      </c>
      <c r="T157" s="581"/>
      <c r="U157" s="580" t="str">
        <f>IF(VLOOKUP($A157,'Pre-Assessment Estimator'!$A$10:$Z$225,U$2,FALSE)=0,"",VLOOKUP($A157,'Pre-Assessment Estimator'!$A$10:$Z$225,U$2,FALSE))</f>
        <v/>
      </c>
      <c r="V157" s="575">
        <f>VLOOKUP($A157,'Pre-Assessment Estimator'!$A$10:$Z$225,V$2,FALSE)</f>
        <v>0</v>
      </c>
      <c r="W157" s="574" t="str">
        <f>VLOOKUP($A157,'Pre-Assessment Estimator'!$A$10:$Z$225,W$2,FALSE)</f>
        <v>N/A</v>
      </c>
      <c r="X157" s="577" t="str">
        <f>IF(VLOOKUP($A157,'Pre-Assessment Estimator'!$A$10:$Z$225,X$2,FALSE)=0,"",VLOOKUP($A157,'Pre-Assessment Estimator'!$A$10:$Z$225,X$2,FALSE))</f>
        <v/>
      </c>
      <c r="Y157" s="577" t="str">
        <f>IF(VLOOKUP($A157,'Pre-Assessment Estimator'!$A$10:$Z$225,Y$2,FALSE)=0,"",VLOOKUP($A157,'Pre-Assessment Estimator'!$A$10:$Z$225,Y$2,FALSE))</f>
        <v/>
      </c>
      <c r="Z157" s="370" t="str">
        <f>IF(VLOOKUP($A157,'Pre-Assessment Estimator'!$A$10:$Z$225,Z$2,FALSE)=0,"",VLOOKUP($A157,'Pre-Assessment Estimator'!$A$10:$Z$225,Z$2,FALSE))</f>
        <v/>
      </c>
      <c r="AA157" s="696">
        <v>147</v>
      </c>
      <c r="AB157" s="577" t="str">
        <f>IF(VLOOKUP($A157,'Pre-Assessment Estimator'!$A$10:$AB$225,AB$2,FALSE)=0,"",VLOOKUP($A157,'Pre-Assessment Estimator'!$A$10:$AB$225,AB$2,FALSE))</f>
        <v/>
      </c>
      <c r="AF157" s="386">
        <f t="shared" si="3"/>
        <v>2</v>
      </c>
    </row>
    <row r="158" spans="1:32" x14ac:dyDescent="0.25">
      <c r="A158" s="823">
        <v>149</v>
      </c>
      <c r="B158" s="1236" t="s">
        <v>70</v>
      </c>
      <c r="C158" s="1236"/>
      <c r="D158" s="1258" t="str">
        <f>VLOOKUP($A158,'Pre-Assessment Estimator'!$A$10:$Z$225,D$2,FALSE)</f>
        <v>Wst 04</v>
      </c>
      <c r="E158" s="1258" t="str">
        <f>VLOOKUP($A158,'Pre-Assessment Estimator'!$A$10:$Z$225,E$2,FALSE)</f>
        <v>Wst 04 Speculative finishes</v>
      </c>
      <c r="F158" s="574">
        <f>VLOOKUP($A158,'Pre-Assessment Estimator'!$A$10:$Z$225,F$2,FALSE)</f>
        <v>1</v>
      </c>
      <c r="G158" s="580" t="str">
        <f>IF(VLOOKUP($A158,'Pre-Assessment Estimator'!$A$10:$Z$225,G$2,FALSE)=0,"",VLOOKUP($A158,'Pre-Assessment Estimator'!$A$10:$Z$225,G$2,FALSE))</f>
        <v/>
      </c>
      <c r="H158" s="1222" t="str">
        <f>VLOOKUP($A158,'Pre-Assessment Estimator'!$A$10:$Z$225,H$2,FALSE)</f>
        <v>0 c. 0 %</v>
      </c>
      <c r="I158" s="576" t="str">
        <f>VLOOKUP($A158,'Pre-Assessment Estimator'!$A$10:$Z$225,I$2,FALSE)</f>
        <v>N/A</v>
      </c>
      <c r="J158" s="577" t="str">
        <f>IF(VLOOKUP($A158,'Pre-Assessment Estimator'!$A$10:$Z$225,J$2,FALSE)=0,"",VLOOKUP($A158,'Pre-Assessment Estimator'!$A$10:$Z$225,J$2,FALSE))</f>
        <v/>
      </c>
      <c r="K158" s="577" t="str">
        <f>IF(VLOOKUP($A158,'Pre-Assessment Estimator'!$A$10:$Z$225,K$2,FALSE)=0,"",VLOOKUP($A158,'Pre-Assessment Estimator'!$A$10:$Z$225,K$2,FALSE))</f>
        <v/>
      </c>
      <c r="L158" s="578" t="str">
        <f>IF(VLOOKUP($A158,'Pre-Assessment Estimator'!$A$10:$Z$225,L$2,FALSE)=0,"",VLOOKUP($A158,'Pre-Assessment Estimator'!$A$10:$Z$225,L$2,FALSE))</f>
        <v/>
      </c>
      <c r="M158" s="579"/>
      <c r="N158" s="580" t="str">
        <f>IF(VLOOKUP($A158,'Pre-Assessment Estimator'!$A$10:$Z$225,N$2,FALSE)=0,"",VLOOKUP($A158,'Pre-Assessment Estimator'!$A$10:$Z$225,N$2,FALSE))</f>
        <v/>
      </c>
      <c r="O158" s="575" t="str">
        <f>VLOOKUP($A158,'Pre-Assessment Estimator'!$A$10:$Z$225,O$2,FALSE)</f>
        <v>0 c. 0 %</v>
      </c>
      <c r="P158" s="574" t="str">
        <f>VLOOKUP($A158,'Pre-Assessment Estimator'!$A$10:$Z$225,P$2,FALSE)</f>
        <v>N/A</v>
      </c>
      <c r="Q158" s="577" t="str">
        <f>IF(VLOOKUP($A158,'Pre-Assessment Estimator'!$A$10:$Z$225,Q$2,FALSE)=0,"",VLOOKUP($A158,'Pre-Assessment Estimator'!$A$10:$Z$225,Q$2,FALSE))</f>
        <v/>
      </c>
      <c r="R158" s="577" t="str">
        <f>IF(VLOOKUP($A158,'Pre-Assessment Estimator'!$A$10:$Z$225,R$2,FALSE)=0,"",VLOOKUP($A158,'Pre-Assessment Estimator'!$A$10:$Z$225,R$2,FALSE))</f>
        <v/>
      </c>
      <c r="S158" s="578" t="str">
        <f>IF(VLOOKUP($A158,'Pre-Assessment Estimator'!$A$10:$Z$225,S$2,FALSE)=0,"",VLOOKUP($A158,'Pre-Assessment Estimator'!$A$10:$Z$225,S$2,FALSE))</f>
        <v/>
      </c>
      <c r="T158" s="581"/>
      <c r="U158" s="580" t="str">
        <f>IF(VLOOKUP($A158,'Pre-Assessment Estimator'!$A$10:$Z$225,U$2,FALSE)=0,"",VLOOKUP($A158,'Pre-Assessment Estimator'!$A$10:$Z$225,U$2,FALSE))</f>
        <v/>
      </c>
      <c r="V158" s="575" t="str">
        <f>VLOOKUP($A158,'Pre-Assessment Estimator'!$A$10:$Z$225,V$2,FALSE)</f>
        <v>0 c. 0 %</v>
      </c>
      <c r="W158" s="574" t="str">
        <f>VLOOKUP($A158,'Pre-Assessment Estimator'!$A$10:$Z$225,W$2,FALSE)</f>
        <v>N/A</v>
      </c>
      <c r="X158" s="577" t="str">
        <f>IF(VLOOKUP($A158,'Pre-Assessment Estimator'!$A$10:$Z$225,X$2,FALSE)=0,"",VLOOKUP($A158,'Pre-Assessment Estimator'!$A$10:$Z$225,X$2,FALSE))</f>
        <v/>
      </c>
      <c r="Y158" s="577" t="str">
        <f>IF(VLOOKUP($A158,'Pre-Assessment Estimator'!$A$10:$Z$225,Y$2,FALSE)=0,"",VLOOKUP($A158,'Pre-Assessment Estimator'!$A$10:$Z$225,Y$2,FALSE))</f>
        <v/>
      </c>
      <c r="Z158" s="370" t="str">
        <f>IF(VLOOKUP($A158,'Pre-Assessment Estimator'!$A$10:$Z$225,Z$2,FALSE)=0,"",VLOOKUP($A158,'Pre-Assessment Estimator'!$A$10:$Z$225,Z$2,FALSE))</f>
        <v/>
      </c>
      <c r="AA158" s="696">
        <v>148</v>
      </c>
      <c r="AB158" s="585" t="str">
        <f>IF(VLOOKUP($A158,'Pre-Assessment Estimator'!$A$10:$AB$225,AB$2,FALSE)=0,"",VLOOKUP($A158,'Pre-Assessment Estimator'!$A$10:$AB$225,AB$2,FALSE))</f>
        <v/>
      </c>
      <c r="AC158" s="389"/>
      <c r="AD158" s="389"/>
      <c r="AE158" s="389"/>
      <c r="AF158" s="386">
        <f t="shared" si="3"/>
        <v>1</v>
      </c>
    </row>
    <row r="159" spans="1:32" x14ac:dyDescent="0.25">
      <c r="A159" s="823">
        <v>150</v>
      </c>
      <c r="B159" s="1236" t="s">
        <v>71</v>
      </c>
      <c r="C159" s="1236"/>
      <c r="D159" s="1259" t="str">
        <f>VLOOKUP($A159,'Pre-Assessment Estimator'!$A$10:$Z$225,D$2,FALSE)</f>
        <v>Wst 04</v>
      </c>
      <c r="E159" s="1260" t="str">
        <f>VLOOKUP($A159,'Pre-Assessment Estimator'!$A$10:$Z$225,E$2,FALSE)</f>
        <v xml:space="preserve">User involvement surface finishes </v>
      </c>
      <c r="F159" s="574">
        <f>VLOOKUP($A159,'Pre-Assessment Estimator'!$A$10:$Z$225,F$2,FALSE)</f>
        <v>1</v>
      </c>
      <c r="G159" s="580" t="str">
        <f>IF(VLOOKUP($A159,'Pre-Assessment Estimator'!$A$10:$Z$225,G$2,FALSE)=0,"",VLOOKUP($A159,'Pre-Assessment Estimator'!$A$10:$Z$225,G$2,FALSE))</f>
        <v/>
      </c>
      <c r="H159" s="1222">
        <f>VLOOKUP($A159,'Pre-Assessment Estimator'!$A$10:$Z$225,H$2,FALSE)</f>
        <v>0</v>
      </c>
      <c r="I159" s="576" t="str">
        <f>VLOOKUP($A159,'Pre-Assessment Estimator'!$A$10:$Z$225,I$2,FALSE)</f>
        <v>N/A</v>
      </c>
      <c r="J159" s="577" t="str">
        <f>IF(VLOOKUP($A159,'Pre-Assessment Estimator'!$A$10:$Z$225,J$2,FALSE)=0,"",VLOOKUP($A159,'Pre-Assessment Estimator'!$A$10:$Z$225,J$2,FALSE))</f>
        <v/>
      </c>
      <c r="K159" s="577" t="str">
        <f>IF(VLOOKUP($A159,'Pre-Assessment Estimator'!$A$10:$Z$225,K$2,FALSE)=0,"",VLOOKUP($A159,'Pre-Assessment Estimator'!$A$10:$Z$225,K$2,FALSE))</f>
        <v/>
      </c>
      <c r="L159" s="578" t="str">
        <f>IF(VLOOKUP($A159,'Pre-Assessment Estimator'!$A$10:$Z$225,L$2,FALSE)=0,"",VLOOKUP($A159,'Pre-Assessment Estimator'!$A$10:$Z$225,L$2,FALSE))</f>
        <v/>
      </c>
      <c r="M159" s="579"/>
      <c r="N159" s="580" t="str">
        <f>IF(VLOOKUP($A159,'Pre-Assessment Estimator'!$A$10:$Z$225,N$2,FALSE)=0,"",VLOOKUP($A159,'Pre-Assessment Estimator'!$A$10:$Z$225,N$2,FALSE))</f>
        <v/>
      </c>
      <c r="O159" s="575">
        <f>VLOOKUP($A159,'Pre-Assessment Estimator'!$A$10:$Z$225,O$2,FALSE)</f>
        <v>0</v>
      </c>
      <c r="P159" s="574" t="str">
        <f>VLOOKUP($A159,'Pre-Assessment Estimator'!$A$10:$Z$225,P$2,FALSE)</f>
        <v>N/A</v>
      </c>
      <c r="Q159" s="577" t="str">
        <f>IF(VLOOKUP($A159,'Pre-Assessment Estimator'!$A$10:$Z$225,Q$2,FALSE)=0,"",VLOOKUP($A159,'Pre-Assessment Estimator'!$A$10:$Z$225,Q$2,FALSE))</f>
        <v/>
      </c>
      <c r="R159" s="577" t="str">
        <f>IF(VLOOKUP($A159,'Pre-Assessment Estimator'!$A$10:$Z$225,R$2,FALSE)=0,"",VLOOKUP($A159,'Pre-Assessment Estimator'!$A$10:$Z$225,R$2,FALSE))</f>
        <v/>
      </c>
      <c r="S159" s="578" t="str">
        <f>IF(VLOOKUP($A159,'Pre-Assessment Estimator'!$A$10:$Z$225,S$2,FALSE)=0,"",VLOOKUP($A159,'Pre-Assessment Estimator'!$A$10:$Z$225,S$2,FALSE))</f>
        <v/>
      </c>
      <c r="T159" s="581"/>
      <c r="U159" s="580" t="str">
        <f>IF(VLOOKUP($A159,'Pre-Assessment Estimator'!$A$10:$Z$225,U$2,FALSE)=0,"",VLOOKUP($A159,'Pre-Assessment Estimator'!$A$10:$Z$225,U$2,FALSE))</f>
        <v/>
      </c>
      <c r="V159" s="575">
        <f>VLOOKUP($A159,'Pre-Assessment Estimator'!$A$10:$Z$225,V$2,FALSE)</f>
        <v>0</v>
      </c>
      <c r="W159" s="574" t="str">
        <f>VLOOKUP($A159,'Pre-Assessment Estimator'!$A$10:$Z$225,W$2,FALSE)</f>
        <v>N/A</v>
      </c>
      <c r="X159" s="577" t="str">
        <f>IF(VLOOKUP($A159,'Pre-Assessment Estimator'!$A$10:$Z$225,X$2,FALSE)=0,"",VLOOKUP($A159,'Pre-Assessment Estimator'!$A$10:$Z$225,X$2,FALSE))</f>
        <v/>
      </c>
      <c r="Y159" s="577" t="str">
        <f>IF(VLOOKUP($A159,'Pre-Assessment Estimator'!$A$10:$Z$225,Y$2,FALSE)=0,"",VLOOKUP($A159,'Pre-Assessment Estimator'!$A$10:$Z$225,Y$2,FALSE))</f>
        <v/>
      </c>
      <c r="Z159" s="370" t="str">
        <f>IF(VLOOKUP($A159,'Pre-Assessment Estimator'!$A$10:$Z$225,Z$2,FALSE)=0,"",VLOOKUP($A159,'Pre-Assessment Estimator'!$A$10:$Z$225,Z$2,FALSE))</f>
        <v/>
      </c>
      <c r="AA159" s="696">
        <v>149</v>
      </c>
      <c r="AB159" s="697" t="str">
        <f>IF(VLOOKUP($A159,'Pre-Assessment Estimator'!$A$10:$AB$225,AB$2,FALSE)=0,"",VLOOKUP($A159,'Pre-Assessment Estimator'!$A$10:$AB$225,AB$2,FALSE))</f>
        <v/>
      </c>
      <c r="AF159" s="386">
        <f t="shared" si="3"/>
        <v>1</v>
      </c>
    </row>
    <row r="160" spans="1:32" ht="30.75" thickBot="1" x14ac:dyDescent="0.3">
      <c r="A160" s="823">
        <v>151</v>
      </c>
      <c r="B160" s="1236" t="s">
        <v>71</v>
      </c>
      <c r="C160" s="1236"/>
      <c r="D160" s="1261"/>
      <c r="E160" s="1261" t="str">
        <f>VLOOKUP($A160,'Pre-Assessment Estimator'!$A$10:$Z$225,E$2,FALSE)</f>
        <v>Total performance waste</v>
      </c>
      <c r="F160" s="582">
        <f>VLOOKUP($A160,'Pre-Assessment Estimator'!$A$10:$Z$225,F$2,FALSE)</f>
        <v>7</v>
      </c>
      <c r="G160" s="584" t="str">
        <f>IF(VLOOKUP($A160,'Pre-Assessment Estimator'!$A$10:$Z$225,G$2,FALSE)=0,"",VLOOKUP($A160,'Pre-Assessment Estimator'!$A$10:$Z$225,G$2,FALSE))</f>
        <v/>
      </c>
      <c r="H160" s="583">
        <f>VLOOKUP($A160,'Pre-Assessment Estimator'!$A$10:$Z$225,H$2,FALSE)</f>
        <v>0</v>
      </c>
      <c r="I160" s="582" t="str">
        <f>VLOOKUP($A160,'Pre-Assessment Estimator'!$A$10:$Z$225,I$2,FALSE)</f>
        <v>Credits achieved: 0</v>
      </c>
      <c r="J160" s="1204" t="str">
        <f>IF(VLOOKUP($A160,'Pre-Assessment Estimator'!$A$10:$Z$225,J$2,FALSE)=0,"",VLOOKUP($A160,'Pre-Assessment Estimator'!$A$10:$Z$225,J$2,FALSE))</f>
        <v/>
      </c>
      <c r="K160" s="1204" t="str">
        <f>IF(VLOOKUP($A160,'Pre-Assessment Estimator'!$A$10:$Z$225,K$2,FALSE)=0,"",VLOOKUP($A160,'Pre-Assessment Estimator'!$A$10:$Z$225,K$2,FALSE))</f>
        <v/>
      </c>
      <c r="L160" s="1223" t="str">
        <f>IF(VLOOKUP($A160,'Pre-Assessment Estimator'!$A$10:$Z$225,L$2,FALSE)=0,"",VLOOKUP($A160,'Pre-Assessment Estimator'!$A$10:$Z$225,L$2,FALSE))</f>
        <v/>
      </c>
      <c r="M160" s="1224"/>
      <c r="N160" s="584" t="str">
        <f>IF(VLOOKUP($A160,'Pre-Assessment Estimator'!$A$10:$Z$225,N$2,FALSE)=0,"",VLOOKUP($A160,'Pre-Assessment Estimator'!$A$10:$Z$225,N$2,FALSE))</f>
        <v/>
      </c>
      <c r="O160" s="583">
        <f>VLOOKUP($A160,'Pre-Assessment Estimator'!$A$10:$Z$225,O$2,FALSE)</f>
        <v>0</v>
      </c>
      <c r="P160" s="582" t="str">
        <f>VLOOKUP($A160,'Pre-Assessment Estimator'!$A$10:$Z$225,P$2,FALSE)</f>
        <v>Credits achieved: 0</v>
      </c>
      <c r="Q160" s="1204" t="str">
        <f>IF(VLOOKUP($A160,'Pre-Assessment Estimator'!$A$10:$Z$225,Q$2,FALSE)=0,"",VLOOKUP($A160,'Pre-Assessment Estimator'!$A$10:$Z$225,Q$2,FALSE))</f>
        <v/>
      </c>
      <c r="R160" s="1204" t="str">
        <f>IF(VLOOKUP($A160,'Pre-Assessment Estimator'!$A$10:$Z$225,R$2,FALSE)=0,"",VLOOKUP($A160,'Pre-Assessment Estimator'!$A$10:$Z$225,R$2,FALSE))</f>
        <v/>
      </c>
      <c r="S160" s="1223" t="str">
        <f>IF(VLOOKUP($A160,'Pre-Assessment Estimator'!$A$10:$Z$225,S$2,FALSE)=0,"",VLOOKUP($A160,'Pre-Assessment Estimator'!$A$10:$Z$225,S$2,FALSE))</f>
        <v/>
      </c>
      <c r="T160" s="1225"/>
      <c r="U160" s="584" t="str">
        <f>IF(VLOOKUP($A160,'Pre-Assessment Estimator'!$A$10:$Z$225,U$2,FALSE)=0,"",VLOOKUP($A160,'Pre-Assessment Estimator'!$A$10:$Z$225,U$2,FALSE))</f>
        <v/>
      </c>
      <c r="V160" s="583">
        <f>VLOOKUP($A160,'Pre-Assessment Estimator'!$A$10:$Z$225,V$2,FALSE)</f>
        <v>0</v>
      </c>
      <c r="W160" s="582" t="str">
        <f>VLOOKUP($A160,'Pre-Assessment Estimator'!$A$10:$Z$225,W$2,FALSE)</f>
        <v>Credits achieved: 0</v>
      </c>
      <c r="X160" s="1204" t="str">
        <f>IF(VLOOKUP($A160,'Pre-Assessment Estimator'!$A$10:$Z$225,X$2,FALSE)=0,"",VLOOKUP($A160,'Pre-Assessment Estimator'!$A$10:$Z$225,X$2,FALSE))</f>
        <v/>
      </c>
      <c r="Y160" s="1204" t="str">
        <f>IF(VLOOKUP($A160,'Pre-Assessment Estimator'!$A$10:$Z$225,Y$2,FALSE)=0,"",VLOOKUP($A160,'Pre-Assessment Estimator'!$A$10:$Z$225,Y$2,FALSE))</f>
        <v/>
      </c>
      <c r="Z160" s="1226" t="str">
        <f>IF(VLOOKUP($A160,'Pre-Assessment Estimator'!$A$10:$Z$225,Z$2,FALSE)=0,"",VLOOKUP($A160,'Pre-Assessment Estimator'!$A$10:$Z$225,Z$2,FALSE))</f>
        <v/>
      </c>
      <c r="AA160" s="696">
        <v>150</v>
      </c>
      <c r="AB160" s="577" t="str">
        <f>IF(VLOOKUP($A160,'Pre-Assessment Estimator'!$A$10:$AB$225,AB$2,FALSE)=0,"",VLOOKUP($A160,'Pre-Assessment Estimator'!$A$10:$AB$225,AB$2,FALSE))</f>
        <v/>
      </c>
      <c r="AF160" s="386">
        <f t="shared" si="3"/>
        <v>1</v>
      </c>
    </row>
    <row r="161" spans="1:32" x14ac:dyDescent="0.25">
      <c r="A161" s="823">
        <v>152</v>
      </c>
      <c r="B161" s="1236" t="s">
        <v>71</v>
      </c>
      <c r="C161" s="1236"/>
      <c r="D161" s="585"/>
      <c r="E161" s="585"/>
      <c r="F161" s="586"/>
      <c r="G161" s="586"/>
      <c r="H161" s="586"/>
      <c r="I161" s="586"/>
      <c r="J161" s="585"/>
      <c r="K161" s="586"/>
      <c r="L161" s="585"/>
      <c r="M161" s="579"/>
      <c r="N161" s="586"/>
      <c r="O161" s="586"/>
      <c r="P161" s="586"/>
      <c r="Q161" s="585"/>
      <c r="R161" s="586"/>
      <c r="S161" s="585"/>
      <c r="T161" s="581"/>
      <c r="U161" s="586"/>
      <c r="V161" s="586"/>
      <c r="W161" s="586"/>
      <c r="X161" s="585"/>
      <c r="Y161" s="586"/>
      <c r="Z161" s="343"/>
      <c r="AA161" s="696">
        <v>151</v>
      </c>
      <c r="AB161" s="577"/>
      <c r="AF161" s="386">
        <f t="shared" si="3"/>
        <v>1</v>
      </c>
    </row>
    <row r="162" spans="1:32" ht="18.75" x14ac:dyDescent="0.25">
      <c r="A162" s="823">
        <v>153</v>
      </c>
      <c r="B162" s="1236" t="s">
        <v>71</v>
      </c>
      <c r="C162" s="1236"/>
      <c r="D162" s="587"/>
      <c r="E162" s="587" t="s">
        <v>395</v>
      </c>
      <c r="F162" s="570"/>
      <c r="G162" s="570"/>
      <c r="H162" s="570"/>
      <c r="I162" s="570"/>
      <c r="J162" s="571"/>
      <c r="K162" s="570"/>
      <c r="L162" s="571"/>
      <c r="M162" s="579"/>
      <c r="N162" s="570"/>
      <c r="O162" s="570"/>
      <c r="P162" s="570"/>
      <c r="Q162" s="571"/>
      <c r="R162" s="570"/>
      <c r="S162" s="571"/>
      <c r="T162" s="581"/>
      <c r="U162" s="570"/>
      <c r="V162" s="570"/>
      <c r="W162" s="570"/>
      <c r="X162" s="571"/>
      <c r="Y162" s="570"/>
      <c r="Z162" s="411"/>
      <c r="AA162" s="696">
        <v>152</v>
      </c>
      <c r="AB162" s="577"/>
      <c r="AF162" s="386">
        <f t="shared" si="3"/>
        <v>1</v>
      </c>
    </row>
    <row r="163" spans="1:32" x14ac:dyDescent="0.25">
      <c r="A163" s="823">
        <v>154</v>
      </c>
      <c r="B163" s="1236" t="s">
        <v>71</v>
      </c>
      <c r="C163" s="1236"/>
      <c r="D163" s="1258" t="str">
        <f>VLOOKUP($A163,'Pre-Assessment Estimator'!$A$10:$Z$225,D$2,FALSE)</f>
        <v>LE 01</v>
      </c>
      <c r="E163" s="1258" t="str">
        <f>VLOOKUP($A163,'Pre-Assessment Estimator'!$A$10:$Z$225,E$2,FALSE)</f>
        <v>LE 01 Site selection</v>
      </c>
      <c r="F163" s="574">
        <f>VLOOKUP($A163,'Pre-Assessment Estimator'!$A$10:$Z$225,F$2,FALSE)</f>
        <v>2</v>
      </c>
      <c r="G163" s="580" t="str">
        <f>IF(VLOOKUP($A163,'Pre-Assessment Estimator'!$A$10:$Z$225,G$2,FALSE)=0,"",VLOOKUP($A163,'Pre-Assessment Estimator'!$A$10:$Z$225,G$2,FALSE))</f>
        <v/>
      </c>
      <c r="H163" s="1222" t="str">
        <f>VLOOKUP($A163,'Pre-Assessment Estimator'!$A$10:$Z$225,H$2,FALSE)</f>
        <v>0 c. 0 %</v>
      </c>
      <c r="I163" s="576" t="str">
        <f>VLOOKUP($A163,'Pre-Assessment Estimator'!$A$10:$Z$225,I$2,FALSE)</f>
        <v>N/A</v>
      </c>
      <c r="J163" s="577" t="str">
        <f>IF(VLOOKUP($A163,'Pre-Assessment Estimator'!$A$10:$Z$225,J$2,FALSE)=0,"",VLOOKUP($A163,'Pre-Assessment Estimator'!$A$10:$Z$225,J$2,FALSE))</f>
        <v/>
      </c>
      <c r="K163" s="577" t="str">
        <f>IF(VLOOKUP($A163,'Pre-Assessment Estimator'!$A$10:$Z$225,K$2,FALSE)=0,"",VLOOKUP($A163,'Pre-Assessment Estimator'!$A$10:$Z$225,K$2,FALSE))</f>
        <v/>
      </c>
      <c r="L163" s="578" t="str">
        <f>IF(VLOOKUP($A163,'Pre-Assessment Estimator'!$A$10:$Z$225,L$2,FALSE)=0,"",VLOOKUP($A163,'Pre-Assessment Estimator'!$A$10:$Z$225,L$2,FALSE))</f>
        <v/>
      </c>
      <c r="M163" s="579"/>
      <c r="N163" s="580" t="str">
        <f>IF(VLOOKUP($A163,'Pre-Assessment Estimator'!$A$10:$Z$225,N$2,FALSE)=0,"",VLOOKUP($A163,'Pre-Assessment Estimator'!$A$10:$Z$225,N$2,FALSE))</f>
        <v/>
      </c>
      <c r="O163" s="575" t="str">
        <f>VLOOKUP($A163,'Pre-Assessment Estimator'!$A$10:$Z$225,O$2,FALSE)</f>
        <v>0 c. 0 %</v>
      </c>
      <c r="P163" s="574" t="str">
        <f>VLOOKUP($A163,'Pre-Assessment Estimator'!$A$10:$Z$225,P$2,FALSE)</f>
        <v>N/A</v>
      </c>
      <c r="Q163" s="577" t="str">
        <f>IF(VLOOKUP($A163,'Pre-Assessment Estimator'!$A$10:$Z$225,Q$2,FALSE)=0,"",VLOOKUP($A163,'Pre-Assessment Estimator'!$A$10:$Z$225,Q$2,FALSE))</f>
        <v/>
      </c>
      <c r="R163" s="577" t="str">
        <f>IF(VLOOKUP($A163,'Pre-Assessment Estimator'!$A$10:$Z$225,R$2,FALSE)=0,"",VLOOKUP($A163,'Pre-Assessment Estimator'!$A$10:$Z$225,R$2,FALSE))</f>
        <v/>
      </c>
      <c r="S163" s="578" t="str">
        <f>IF(VLOOKUP($A163,'Pre-Assessment Estimator'!$A$10:$Z$225,S$2,FALSE)=0,"",VLOOKUP($A163,'Pre-Assessment Estimator'!$A$10:$Z$225,S$2,FALSE))</f>
        <v/>
      </c>
      <c r="T163" s="581"/>
      <c r="U163" s="580" t="str">
        <f>IF(VLOOKUP($A163,'Pre-Assessment Estimator'!$A$10:$Z$225,U$2,FALSE)=0,"",VLOOKUP($A163,'Pre-Assessment Estimator'!$A$10:$Z$225,U$2,FALSE))</f>
        <v/>
      </c>
      <c r="V163" s="575" t="str">
        <f>VLOOKUP($A163,'Pre-Assessment Estimator'!$A$10:$Z$225,V$2,FALSE)</f>
        <v>0 c. 0 %</v>
      </c>
      <c r="W163" s="574" t="str">
        <f>VLOOKUP($A163,'Pre-Assessment Estimator'!$A$10:$Z$225,W$2,FALSE)</f>
        <v>N/A</v>
      </c>
      <c r="X163" s="577" t="str">
        <f>IF(VLOOKUP($A163,'Pre-Assessment Estimator'!$A$10:$Z$225,X$2,FALSE)=0,"",VLOOKUP($A163,'Pre-Assessment Estimator'!$A$10:$Z$225,X$2,FALSE))</f>
        <v/>
      </c>
      <c r="Y163" s="577" t="str">
        <f>IF(VLOOKUP($A163,'Pre-Assessment Estimator'!$A$10:$Z$225,Y$2,FALSE)=0,"",VLOOKUP($A163,'Pre-Assessment Estimator'!$A$10:$Z$225,Y$2,FALSE))</f>
        <v/>
      </c>
      <c r="Z163" s="370" t="str">
        <f>IF(VLOOKUP($A163,'Pre-Assessment Estimator'!$A$10:$Z$225,Z$2,FALSE)=0,"",VLOOKUP($A163,'Pre-Assessment Estimator'!$A$10:$Z$225,Z$2,FALSE))</f>
        <v/>
      </c>
      <c r="AA163" s="696">
        <v>153</v>
      </c>
      <c r="AB163" s="577"/>
      <c r="AF163" s="386">
        <f t="shared" si="3"/>
        <v>1</v>
      </c>
    </row>
    <row r="164" spans="1:32" x14ac:dyDescent="0.25">
      <c r="A164" s="823">
        <v>155</v>
      </c>
      <c r="B164" s="1236" t="s">
        <v>71</v>
      </c>
      <c r="C164" s="1236"/>
      <c r="D164" s="1259" t="str">
        <f>VLOOKUP($A164,'Pre-Assessment Estimator'!$A$10:$Z$225,D$2,FALSE)</f>
        <v>LE 01</v>
      </c>
      <c r="E164" s="1260" t="str">
        <f>VLOOKUP($A164,'Pre-Assessment Estimator'!$A$10:$Z$225,E$2,FALSE)</f>
        <v>Previously occupied land</v>
      </c>
      <c r="F164" s="574">
        <f>VLOOKUP($A164,'Pre-Assessment Estimator'!$A$10:$Z$225,F$2,FALSE)</f>
        <v>2</v>
      </c>
      <c r="G164" s="580" t="str">
        <f>IF(VLOOKUP($A164,'Pre-Assessment Estimator'!$A$10:$Z$225,G$2,FALSE)=0,"",VLOOKUP($A164,'Pre-Assessment Estimator'!$A$10:$Z$225,G$2,FALSE))</f>
        <v/>
      </c>
      <c r="H164" s="1222">
        <f>VLOOKUP($A164,'Pre-Assessment Estimator'!$A$10:$Z$225,H$2,FALSE)</f>
        <v>0</v>
      </c>
      <c r="I164" s="576" t="str">
        <f>VLOOKUP($A164,'Pre-Assessment Estimator'!$A$10:$Z$225,I$2,FALSE)</f>
        <v>N/A</v>
      </c>
      <c r="J164" s="577" t="str">
        <f>IF(VLOOKUP($A164,'Pre-Assessment Estimator'!$A$10:$Z$225,J$2,FALSE)=0,"",VLOOKUP($A164,'Pre-Assessment Estimator'!$A$10:$Z$225,J$2,FALSE))</f>
        <v/>
      </c>
      <c r="K164" s="577" t="str">
        <f>IF(VLOOKUP($A164,'Pre-Assessment Estimator'!$A$10:$Z$225,K$2,FALSE)=0,"",VLOOKUP($A164,'Pre-Assessment Estimator'!$A$10:$Z$225,K$2,FALSE))</f>
        <v/>
      </c>
      <c r="L164" s="578" t="str">
        <f>IF(VLOOKUP($A164,'Pre-Assessment Estimator'!$A$10:$Z$225,L$2,FALSE)=0,"",VLOOKUP($A164,'Pre-Assessment Estimator'!$A$10:$Z$225,L$2,FALSE))</f>
        <v/>
      </c>
      <c r="M164" s="579"/>
      <c r="N164" s="580" t="str">
        <f>IF(VLOOKUP($A164,'Pre-Assessment Estimator'!$A$10:$Z$225,N$2,FALSE)=0,"",VLOOKUP($A164,'Pre-Assessment Estimator'!$A$10:$Z$225,N$2,FALSE))</f>
        <v/>
      </c>
      <c r="O164" s="575">
        <f>VLOOKUP($A164,'Pre-Assessment Estimator'!$A$10:$Z$225,O$2,FALSE)</f>
        <v>0</v>
      </c>
      <c r="P164" s="574" t="str">
        <f>VLOOKUP($A164,'Pre-Assessment Estimator'!$A$10:$Z$225,P$2,FALSE)</f>
        <v>N/A</v>
      </c>
      <c r="Q164" s="577" t="str">
        <f>IF(VLOOKUP($A164,'Pre-Assessment Estimator'!$A$10:$Z$225,Q$2,FALSE)=0,"",VLOOKUP($A164,'Pre-Assessment Estimator'!$A$10:$Z$225,Q$2,FALSE))</f>
        <v/>
      </c>
      <c r="R164" s="577" t="str">
        <f>IF(VLOOKUP($A164,'Pre-Assessment Estimator'!$A$10:$Z$225,R$2,FALSE)=0,"",VLOOKUP($A164,'Pre-Assessment Estimator'!$A$10:$Z$225,R$2,FALSE))</f>
        <v/>
      </c>
      <c r="S164" s="578" t="str">
        <f>IF(VLOOKUP($A164,'Pre-Assessment Estimator'!$A$10:$Z$225,S$2,FALSE)=0,"",VLOOKUP($A164,'Pre-Assessment Estimator'!$A$10:$Z$225,S$2,FALSE))</f>
        <v/>
      </c>
      <c r="T164" s="581"/>
      <c r="U164" s="580" t="str">
        <f>IF(VLOOKUP($A164,'Pre-Assessment Estimator'!$A$10:$Z$225,U$2,FALSE)=0,"",VLOOKUP($A164,'Pre-Assessment Estimator'!$A$10:$Z$225,U$2,FALSE))</f>
        <v/>
      </c>
      <c r="V164" s="575">
        <f>VLOOKUP($A164,'Pre-Assessment Estimator'!$A$10:$Z$225,V$2,FALSE)</f>
        <v>0</v>
      </c>
      <c r="W164" s="574" t="str">
        <f>VLOOKUP($A164,'Pre-Assessment Estimator'!$A$10:$Z$225,W$2,FALSE)</f>
        <v>N/A</v>
      </c>
      <c r="X164" s="577" t="str">
        <f>IF(VLOOKUP($A164,'Pre-Assessment Estimator'!$A$10:$Z$225,X$2,FALSE)=0,"",VLOOKUP($A164,'Pre-Assessment Estimator'!$A$10:$Z$225,X$2,FALSE))</f>
        <v/>
      </c>
      <c r="Y164" s="577" t="str">
        <f>IF(VLOOKUP($A164,'Pre-Assessment Estimator'!$A$10:$Z$225,Y$2,FALSE)=0,"",VLOOKUP($A164,'Pre-Assessment Estimator'!$A$10:$Z$225,Y$2,FALSE))</f>
        <v/>
      </c>
      <c r="Z164" s="370" t="str">
        <f>IF(VLOOKUP($A164,'Pre-Assessment Estimator'!$A$10:$Z$225,Z$2,FALSE)=0,"",VLOOKUP($A164,'Pre-Assessment Estimator'!$A$10:$Z$225,Z$2,FALSE))</f>
        <v/>
      </c>
      <c r="AA164" s="696">
        <v>154</v>
      </c>
      <c r="AB164" s="577"/>
      <c r="AF164" s="386">
        <f t="shared" si="3"/>
        <v>1</v>
      </c>
    </row>
    <row r="165" spans="1:32" ht="30" x14ac:dyDescent="0.25">
      <c r="A165" s="823">
        <v>156</v>
      </c>
      <c r="B165" s="1236" t="s">
        <v>71</v>
      </c>
      <c r="C165" s="1236"/>
      <c r="D165" s="1259" t="str">
        <f>VLOOKUP($A165,'Pre-Assessment Estimator'!$A$10:$Z$225,D$2,FALSE)</f>
        <v>LE 01</v>
      </c>
      <c r="E165" s="1260" t="str">
        <f>VLOOKUP($A165,'Pre-Assessment Estimator'!$A$10:$Z$225,E$2,FALSE)</f>
        <v>Minimum req: agricultural area / forest (EU taxonomy requirement: criterion 2)</v>
      </c>
      <c r="F165" s="574" t="str">
        <f>VLOOKUP($A165,'Pre-Assessment Estimator'!$A$10:$Z$225,F$2,FALSE)</f>
        <v>Yes/No</v>
      </c>
      <c r="G165" s="580" t="str">
        <f>IF(VLOOKUP($A165,'Pre-Assessment Estimator'!$A$10:$Z$225,G$2,FALSE)=0,"",VLOOKUP($A165,'Pre-Assessment Estimator'!$A$10:$Z$225,G$2,FALSE))</f>
        <v/>
      </c>
      <c r="H165" s="1222" t="str">
        <f>VLOOKUP($A165,'Pre-Assessment Estimator'!$A$10:$Z$225,H$2,FALSE)</f>
        <v>-</v>
      </c>
      <c r="I165" s="576" t="str">
        <f>VLOOKUP($A165,'Pre-Assessment Estimator'!$A$10:$Z$225,I$2,FALSE)</f>
        <v>Very Good</v>
      </c>
      <c r="J165" s="577" t="str">
        <f>IF(VLOOKUP($A165,'Pre-Assessment Estimator'!$A$10:$Z$225,J$2,FALSE)=0,"",VLOOKUP($A165,'Pre-Assessment Estimator'!$A$10:$Z$225,J$2,FALSE))</f>
        <v/>
      </c>
      <c r="K165" s="577" t="str">
        <f>IF(VLOOKUP($A165,'Pre-Assessment Estimator'!$A$10:$Z$225,K$2,FALSE)=0,"",VLOOKUP($A165,'Pre-Assessment Estimator'!$A$10:$Z$225,K$2,FALSE))</f>
        <v/>
      </c>
      <c r="L165" s="578" t="str">
        <f>IF(VLOOKUP($A165,'Pre-Assessment Estimator'!$A$10:$Z$225,L$2,FALSE)=0,"",VLOOKUP($A165,'Pre-Assessment Estimator'!$A$10:$Z$225,L$2,FALSE))</f>
        <v/>
      </c>
      <c r="M165" s="579"/>
      <c r="N165" s="580" t="str">
        <f>IF(VLOOKUP($A165,'Pre-Assessment Estimator'!$A$10:$Z$225,N$2,FALSE)=0,"",VLOOKUP($A165,'Pre-Assessment Estimator'!$A$10:$Z$225,N$2,FALSE))</f>
        <v/>
      </c>
      <c r="O165" s="575" t="str">
        <f>VLOOKUP($A165,'Pre-Assessment Estimator'!$A$10:$Z$225,O$2,FALSE)</f>
        <v>-</v>
      </c>
      <c r="P165" s="574" t="str">
        <f>VLOOKUP($A165,'Pre-Assessment Estimator'!$A$10:$Z$225,P$2,FALSE)</f>
        <v>Very Good</v>
      </c>
      <c r="Q165" s="577" t="str">
        <f>IF(VLOOKUP($A165,'Pre-Assessment Estimator'!$A$10:$Z$225,Q$2,FALSE)=0,"",VLOOKUP($A165,'Pre-Assessment Estimator'!$A$10:$Z$225,Q$2,FALSE))</f>
        <v/>
      </c>
      <c r="R165" s="577" t="str">
        <f>IF(VLOOKUP($A165,'Pre-Assessment Estimator'!$A$10:$Z$225,R$2,FALSE)=0,"",VLOOKUP($A165,'Pre-Assessment Estimator'!$A$10:$Z$225,R$2,FALSE))</f>
        <v/>
      </c>
      <c r="S165" s="578" t="str">
        <f>IF(VLOOKUP($A165,'Pre-Assessment Estimator'!$A$10:$Z$225,S$2,FALSE)=0,"",VLOOKUP($A165,'Pre-Assessment Estimator'!$A$10:$Z$225,S$2,FALSE))</f>
        <v/>
      </c>
      <c r="T165" s="581"/>
      <c r="U165" s="580" t="str">
        <f>IF(VLOOKUP($A165,'Pre-Assessment Estimator'!$A$10:$Z$225,U$2,FALSE)=0,"",VLOOKUP($A165,'Pre-Assessment Estimator'!$A$10:$Z$225,U$2,FALSE))</f>
        <v/>
      </c>
      <c r="V165" s="575" t="str">
        <f>VLOOKUP($A165,'Pre-Assessment Estimator'!$A$10:$Z$225,V$2,FALSE)</f>
        <v>-</v>
      </c>
      <c r="W165" s="574" t="str">
        <f>VLOOKUP($A165,'Pre-Assessment Estimator'!$A$10:$Z$225,W$2,FALSE)</f>
        <v>Very Good</v>
      </c>
      <c r="X165" s="577" t="str">
        <f>IF(VLOOKUP($A165,'Pre-Assessment Estimator'!$A$10:$Z$225,X$2,FALSE)=0,"",VLOOKUP($A165,'Pre-Assessment Estimator'!$A$10:$Z$225,X$2,FALSE))</f>
        <v/>
      </c>
      <c r="Y165" s="577" t="str">
        <f>IF(VLOOKUP($A165,'Pre-Assessment Estimator'!$A$10:$Z$225,Y$2,FALSE)=0,"",VLOOKUP($A165,'Pre-Assessment Estimator'!$A$10:$Z$225,Y$2,FALSE))</f>
        <v/>
      </c>
      <c r="Z165" s="370" t="str">
        <f>IF(VLOOKUP($A165,'Pre-Assessment Estimator'!$A$10:$Z$225,Z$2,FALSE)=0,"",VLOOKUP($A165,'Pre-Assessment Estimator'!$A$10:$Z$225,Z$2,FALSE))</f>
        <v/>
      </c>
      <c r="AA165" s="696">
        <v>155</v>
      </c>
      <c r="AB165" s="577"/>
      <c r="AF165" s="386">
        <f t="shared" si="3"/>
        <v>1</v>
      </c>
    </row>
    <row r="166" spans="1:32" x14ac:dyDescent="0.25">
      <c r="A166" s="823">
        <v>157</v>
      </c>
      <c r="B166" s="1236" t="s">
        <v>71</v>
      </c>
      <c r="C166" s="1236"/>
      <c r="D166" s="1258" t="str">
        <f>VLOOKUP($A166,'Pre-Assessment Estimator'!$A$10:$Z$225,D$2,FALSE)</f>
        <v>LE 02</v>
      </c>
      <c r="E166" s="1258" t="str">
        <f>VLOOKUP($A166,'Pre-Assessment Estimator'!$A$10:$Z$225,E$2,FALSE)</f>
        <v>LE 02 Ecological risks and opportunities</v>
      </c>
      <c r="F166" s="574">
        <f>VLOOKUP($A166,'Pre-Assessment Estimator'!$A$10:$Z$225,F$2,FALSE)</f>
        <v>2</v>
      </c>
      <c r="G166" s="580" t="str">
        <f>IF(VLOOKUP($A166,'Pre-Assessment Estimator'!$A$10:$Z$225,G$2,FALSE)=0,"",VLOOKUP($A166,'Pre-Assessment Estimator'!$A$10:$Z$225,G$2,FALSE))</f>
        <v/>
      </c>
      <c r="H166" s="1222" t="str">
        <f>VLOOKUP($A166,'Pre-Assessment Estimator'!$A$10:$Z$225,H$2,FALSE)</f>
        <v>0 c. 0 %</v>
      </c>
      <c r="I166" s="576" t="str">
        <f>VLOOKUP($A166,'Pre-Assessment Estimator'!$A$10:$Z$225,I$2,FALSE)</f>
        <v>N/A</v>
      </c>
      <c r="J166" s="577" t="str">
        <f>IF(VLOOKUP($A166,'Pre-Assessment Estimator'!$A$10:$Z$225,J$2,FALSE)=0,"",VLOOKUP($A166,'Pre-Assessment Estimator'!$A$10:$Z$225,J$2,FALSE))</f>
        <v/>
      </c>
      <c r="K166" s="577" t="str">
        <f>IF(VLOOKUP($A166,'Pre-Assessment Estimator'!$A$10:$Z$225,K$2,FALSE)=0,"",VLOOKUP($A166,'Pre-Assessment Estimator'!$A$10:$Z$225,K$2,FALSE))</f>
        <v/>
      </c>
      <c r="L166" s="578" t="str">
        <f>IF(VLOOKUP($A166,'Pre-Assessment Estimator'!$A$10:$Z$225,L$2,FALSE)=0,"",VLOOKUP($A166,'Pre-Assessment Estimator'!$A$10:$Z$225,L$2,FALSE))</f>
        <v/>
      </c>
      <c r="M166" s="579"/>
      <c r="N166" s="580" t="str">
        <f>IF(VLOOKUP($A166,'Pre-Assessment Estimator'!$A$10:$Z$225,N$2,FALSE)=0,"",VLOOKUP($A166,'Pre-Assessment Estimator'!$A$10:$Z$225,N$2,FALSE))</f>
        <v/>
      </c>
      <c r="O166" s="575" t="str">
        <f>VLOOKUP($A166,'Pre-Assessment Estimator'!$A$10:$Z$225,O$2,FALSE)</f>
        <v>0 c. 0 %</v>
      </c>
      <c r="P166" s="574" t="str">
        <f>VLOOKUP($A166,'Pre-Assessment Estimator'!$A$10:$Z$225,P$2,FALSE)</f>
        <v>N/A</v>
      </c>
      <c r="Q166" s="577" t="str">
        <f>IF(VLOOKUP($A166,'Pre-Assessment Estimator'!$A$10:$Z$225,Q$2,FALSE)=0,"",VLOOKUP($A166,'Pre-Assessment Estimator'!$A$10:$Z$225,Q$2,FALSE))</f>
        <v/>
      </c>
      <c r="R166" s="577" t="str">
        <f>IF(VLOOKUP($A166,'Pre-Assessment Estimator'!$A$10:$Z$225,R$2,FALSE)=0,"",VLOOKUP($A166,'Pre-Assessment Estimator'!$A$10:$Z$225,R$2,FALSE))</f>
        <v/>
      </c>
      <c r="S166" s="578" t="str">
        <f>IF(VLOOKUP($A166,'Pre-Assessment Estimator'!$A$10:$Z$225,S$2,FALSE)=0,"",VLOOKUP($A166,'Pre-Assessment Estimator'!$A$10:$Z$225,S$2,FALSE))</f>
        <v/>
      </c>
      <c r="T166" s="581"/>
      <c r="U166" s="580" t="str">
        <f>IF(VLOOKUP($A166,'Pre-Assessment Estimator'!$A$10:$Z$225,U$2,FALSE)=0,"",VLOOKUP($A166,'Pre-Assessment Estimator'!$A$10:$Z$225,U$2,FALSE))</f>
        <v/>
      </c>
      <c r="V166" s="575" t="str">
        <f>VLOOKUP($A166,'Pre-Assessment Estimator'!$A$10:$Z$225,V$2,FALSE)</f>
        <v>0 c. 0 %</v>
      </c>
      <c r="W166" s="574" t="str">
        <f>VLOOKUP($A166,'Pre-Assessment Estimator'!$A$10:$Z$225,W$2,FALSE)</f>
        <v>N/A</v>
      </c>
      <c r="X166" s="577" t="str">
        <f>IF(VLOOKUP($A166,'Pre-Assessment Estimator'!$A$10:$Z$225,X$2,FALSE)=0,"",VLOOKUP($A166,'Pre-Assessment Estimator'!$A$10:$Z$225,X$2,FALSE))</f>
        <v/>
      </c>
      <c r="Y166" s="577" t="str">
        <f>IF(VLOOKUP($A166,'Pre-Assessment Estimator'!$A$10:$Z$225,Y$2,FALSE)=0,"",VLOOKUP($A166,'Pre-Assessment Estimator'!$A$10:$Z$225,Y$2,FALSE))</f>
        <v/>
      </c>
      <c r="Z166" s="370" t="str">
        <f>IF(VLOOKUP($A166,'Pre-Assessment Estimator'!$A$10:$Z$225,Z$2,FALSE)=0,"",VLOOKUP($A166,'Pre-Assessment Estimator'!$A$10:$Z$225,Z$2,FALSE))</f>
        <v/>
      </c>
      <c r="AA166" s="696">
        <v>156</v>
      </c>
      <c r="AB166" s="577"/>
      <c r="AF166" s="386">
        <f t="shared" si="3"/>
        <v>1</v>
      </c>
    </row>
    <row r="167" spans="1:32" x14ac:dyDescent="0.25">
      <c r="A167" s="823">
        <v>158</v>
      </c>
      <c r="B167" s="1236" t="s">
        <v>71</v>
      </c>
      <c r="C167" s="1236"/>
      <c r="D167" s="1259" t="str">
        <f>VLOOKUP($A167,'Pre-Assessment Estimator'!$A$10:$Z$225,D$2,FALSE)</f>
        <v>LE 02</v>
      </c>
      <c r="E167" s="1260" t="str">
        <f>VLOOKUP($A167,'Pre-Assessment Estimator'!$A$10:$Z$225,E$2,FALSE)</f>
        <v>Pre-requisite: statutory obligations fulfilled</v>
      </c>
      <c r="F167" s="574" t="str">
        <f>VLOOKUP($A167,'Pre-Assessment Estimator'!$A$10:$Z$225,F$2,FALSE)</f>
        <v>Yes/No</v>
      </c>
      <c r="G167" s="580" t="str">
        <f>IF(VLOOKUP($A167,'Pre-Assessment Estimator'!$A$10:$Z$225,G$2,FALSE)=0,"",VLOOKUP($A167,'Pre-Assessment Estimator'!$A$10:$Z$225,G$2,FALSE))</f>
        <v/>
      </c>
      <c r="H167" s="1222" t="str">
        <f>VLOOKUP($A167,'Pre-Assessment Estimator'!$A$10:$Z$225,H$2,FALSE)</f>
        <v>-</v>
      </c>
      <c r="I167" s="576" t="str">
        <f>VLOOKUP($A167,'Pre-Assessment Estimator'!$A$10:$Z$225,I$2,FALSE)</f>
        <v>N/A</v>
      </c>
      <c r="J167" s="577" t="str">
        <f>IF(VLOOKUP($A167,'Pre-Assessment Estimator'!$A$10:$Z$225,J$2,FALSE)=0,"",VLOOKUP($A167,'Pre-Assessment Estimator'!$A$10:$Z$225,J$2,FALSE))</f>
        <v/>
      </c>
      <c r="K167" s="577" t="str">
        <f>IF(VLOOKUP($A167,'Pre-Assessment Estimator'!$A$10:$Z$225,K$2,FALSE)=0,"",VLOOKUP($A167,'Pre-Assessment Estimator'!$A$10:$Z$225,K$2,FALSE))</f>
        <v/>
      </c>
      <c r="L167" s="578" t="str">
        <f>IF(VLOOKUP($A167,'Pre-Assessment Estimator'!$A$10:$Z$225,L$2,FALSE)=0,"",VLOOKUP($A167,'Pre-Assessment Estimator'!$A$10:$Z$225,L$2,FALSE))</f>
        <v/>
      </c>
      <c r="M167" s="579"/>
      <c r="N167" s="580" t="str">
        <f>IF(VLOOKUP($A167,'Pre-Assessment Estimator'!$A$10:$Z$225,N$2,FALSE)=0,"",VLOOKUP($A167,'Pre-Assessment Estimator'!$A$10:$Z$225,N$2,FALSE))</f>
        <v/>
      </c>
      <c r="O167" s="575" t="str">
        <f>VLOOKUP($A167,'Pre-Assessment Estimator'!$A$10:$Z$225,O$2,FALSE)</f>
        <v>-</v>
      </c>
      <c r="P167" s="574" t="str">
        <f>VLOOKUP($A167,'Pre-Assessment Estimator'!$A$10:$Z$225,P$2,FALSE)</f>
        <v>N/A</v>
      </c>
      <c r="Q167" s="577" t="str">
        <f>IF(VLOOKUP($A167,'Pre-Assessment Estimator'!$A$10:$Z$225,Q$2,FALSE)=0,"",VLOOKUP($A167,'Pre-Assessment Estimator'!$A$10:$Z$225,Q$2,FALSE))</f>
        <v/>
      </c>
      <c r="R167" s="577" t="str">
        <f>IF(VLOOKUP($A167,'Pre-Assessment Estimator'!$A$10:$Z$225,R$2,FALSE)=0,"",VLOOKUP($A167,'Pre-Assessment Estimator'!$A$10:$Z$225,R$2,FALSE))</f>
        <v/>
      </c>
      <c r="S167" s="578" t="str">
        <f>IF(VLOOKUP($A167,'Pre-Assessment Estimator'!$A$10:$Z$225,S$2,FALSE)=0,"",VLOOKUP($A167,'Pre-Assessment Estimator'!$A$10:$Z$225,S$2,FALSE))</f>
        <v/>
      </c>
      <c r="T167" s="581"/>
      <c r="U167" s="580" t="str">
        <f>IF(VLOOKUP($A167,'Pre-Assessment Estimator'!$A$10:$Z$225,U$2,FALSE)=0,"",VLOOKUP($A167,'Pre-Assessment Estimator'!$A$10:$Z$225,U$2,FALSE))</f>
        <v/>
      </c>
      <c r="V167" s="575" t="str">
        <f>VLOOKUP($A167,'Pre-Assessment Estimator'!$A$10:$Z$225,V$2,FALSE)</f>
        <v>-</v>
      </c>
      <c r="W167" s="574" t="str">
        <f>VLOOKUP($A167,'Pre-Assessment Estimator'!$A$10:$Z$225,W$2,FALSE)</f>
        <v>N/A</v>
      </c>
      <c r="X167" s="577" t="str">
        <f>IF(VLOOKUP($A167,'Pre-Assessment Estimator'!$A$10:$Z$225,X$2,FALSE)=0,"",VLOOKUP($A167,'Pre-Assessment Estimator'!$A$10:$Z$225,X$2,FALSE))</f>
        <v/>
      </c>
      <c r="Y167" s="577" t="str">
        <f>IF(VLOOKUP($A167,'Pre-Assessment Estimator'!$A$10:$Z$225,Y$2,FALSE)=0,"",VLOOKUP($A167,'Pre-Assessment Estimator'!$A$10:$Z$225,Y$2,FALSE))</f>
        <v/>
      </c>
      <c r="Z167" s="370" t="str">
        <f>IF(VLOOKUP($A167,'Pre-Assessment Estimator'!$A$10:$Z$225,Z$2,FALSE)=0,"",VLOOKUP($A167,'Pre-Assessment Estimator'!$A$10:$Z$225,Z$2,FALSE))</f>
        <v/>
      </c>
      <c r="AA167" s="696">
        <v>157</v>
      </c>
      <c r="AB167" s="577"/>
      <c r="AF167" s="386">
        <f t="shared" si="3"/>
        <v>1</v>
      </c>
    </row>
    <row r="168" spans="1:32" x14ac:dyDescent="0.25">
      <c r="A168" s="823">
        <v>159</v>
      </c>
      <c r="B168" s="1236" t="s">
        <v>71</v>
      </c>
      <c r="C168" s="1236"/>
      <c r="D168" s="1259" t="str">
        <f>VLOOKUP($A168,'Pre-Assessment Estimator'!$A$10:$Z$225,D$2,FALSE)</f>
        <v>LE 02</v>
      </c>
      <c r="E168" s="1260" t="str">
        <f>VLOOKUP($A168,'Pre-Assessment Estimator'!$A$10:$Z$225,E$2,FALSE)</f>
        <v>Survey and evaluation (EU taxonomy requirement: criterion 2-4)</v>
      </c>
      <c r="F168" s="574">
        <f>VLOOKUP($A168,'Pre-Assessment Estimator'!$A$10:$Z$225,F$2,FALSE)</f>
        <v>1</v>
      </c>
      <c r="G168" s="580" t="str">
        <f>IF(VLOOKUP($A168,'Pre-Assessment Estimator'!$A$10:$Z$225,G$2,FALSE)=0,"",VLOOKUP($A168,'Pre-Assessment Estimator'!$A$10:$Z$225,G$2,FALSE))</f>
        <v/>
      </c>
      <c r="H168" s="1222">
        <f>VLOOKUP($A168,'Pre-Assessment Estimator'!$A$10:$Z$225,H$2,FALSE)</f>
        <v>0</v>
      </c>
      <c r="I168" s="576" t="str">
        <f>VLOOKUP($A168,'Pre-Assessment Estimator'!$A$10:$Z$225,I$2,FALSE)</f>
        <v>Good</v>
      </c>
      <c r="J168" s="577" t="str">
        <f>IF(VLOOKUP($A168,'Pre-Assessment Estimator'!$A$10:$Z$225,J$2,FALSE)=0,"",VLOOKUP($A168,'Pre-Assessment Estimator'!$A$10:$Z$225,J$2,FALSE))</f>
        <v/>
      </c>
      <c r="K168" s="577" t="str">
        <f>IF(VLOOKUP($A168,'Pre-Assessment Estimator'!$A$10:$Z$225,K$2,FALSE)=0,"",VLOOKUP($A168,'Pre-Assessment Estimator'!$A$10:$Z$225,K$2,FALSE))</f>
        <v/>
      </c>
      <c r="L168" s="578" t="str">
        <f>IF(VLOOKUP($A168,'Pre-Assessment Estimator'!$A$10:$Z$225,L$2,FALSE)=0,"",VLOOKUP($A168,'Pre-Assessment Estimator'!$A$10:$Z$225,L$2,FALSE))</f>
        <v/>
      </c>
      <c r="M168" s="579"/>
      <c r="N168" s="580" t="str">
        <f>IF(VLOOKUP($A168,'Pre-Assessment Estimator'!$A$10:$Z$225,N$2,FALSE)=0,"",VLOOKUP($A168,'Pre-Assessment Estimator'!$A$10:$Z$225,N$2,FALSE))</f>
        <v/>
      </c>
      <c r="O168" s="575">
        <f>VLOOKUP($A168,'Pre-Assessment Estimator'!$A$10:$Z$225,O$2,FALSE)</f>
        <v>0</v>
      </c>
      <c r="P168" s="574" t="str">
        <f>VLOOKUP($A168,'Pre-Assessment Estimator'!$A$10:$Z$225,P$2,FALSE)</f>
        <v>Good</v>
      </c>
      <c r="Q168" s="577" t="str">
        <f>IF(VLOOKUP($A168,'Pre-Assessment Estimator'!$A$10:$Z$225,Q$2,FALSE)=0,"",VLOOKUP($A168,'Pre-Assessment Estimator'!$A$10:$Z$225,Q$2,FALSE))</f>
        <v/>
      </c>
      <c r="R168" s="577" t="str">
        <f>IF(VLOOKUP($A168,'Pre-Assessment Estimator'!$A$10:$Z$225,R$2,FALSE)=0,"",VLOOKUP($A168,'Pre-Assessment Estimator'!$A$10:$Z$225,R$2,FALSE))</f>
        <v/>
      </c>
      <c r="S168" s="578" t="str">
        <f>IF(VLOOKUP($A168,'Pre-Assessment Estimator'!$A$10:$Z$225,S$2,FALSE)=0,"",VLOOKUP($A168,'Pre-Assessment Estimator'!$A$10:$Z$225,S$2,FALSE))</f>
        <v/>
      </c>
      <c r="T168" s="581"/>
      <c r="U168" s="580" t="str">
        <f>IF(VLOOKUP($A168,'Pre-Assessment Estimator'!$A$10:$Z$225,U$2,FALSE)=0,"",VLOOKUP($A168,'Pre-Assessment Estimator'!$A$10:$Z$225,U$2,FALSE))</f>
        <v/>
      </c>
      <c r="V168" s="575">
        <f>VLOOKUP($A168,'Pre-Assessment Estimator'!$A$10:$Z$225,V$2,FALSE)</f>
        <v>0</v>
      </c>
      <c r="W168" s="574" t="str">
        <f>VLOOKUP($A168,'Pre-Assessment Estimator'!$A$10:$Z$225,W$2,FALSE)</f>
        <v>Good</v>
      </c>
      <c r="X168" s="577" t="str">
        <f>IF(VLOOKUP($A168,'Pre-Assessment Estimator'!$A$10:$Z$225,X$2,FALSE)=0,"",VLOOKUP($A168,'Pre-Assessment Estimator'!$A$10:$Z$225,X$2,FALSE))</f>
        <v/>
      </c>
      <c r="Y168" s="577" t="str">
        <f>IF(VLOOKUP($A168,'Pre-Assessment Estimator'!$A$10:$Z$225,Y$2,FALSE)=0,"",VLOOKUP($A168,'Pre-Assessment Estimator'!$A$10:$Z$225,Y$2,FALSE))</f>
        <v/>
      </c>
      <c r="Z168" s="370" t="str">
        <f>IF(VLOOKUP($A168,'Pre-Assessment Estimator'!$A$10:$Z$225,Z$2,FALSE)=0,"",VLOOKUP($A168,'Pre-Assessment Estimator'!$A$10:$Z$225,Z$2,FALSE))</f>
        <v/>
      </c>
      <c r="AA168" s="696">
        <v>158</v>
      </c>
      <c r="AB168" s="577"/>
      <c r="AF168" s="386">
        <f t="shared" si="3"/>
        <v>1</v>
      </c>
    </row>
    <row r="169" spans="1:32" x14ac:dyDescent="0.25">
      <c r="A169" s="823">
        <v>160</v>
      </c>
      <c r="B169" s="1236" t="s">
        <v>71</v>
      </c>
      <c r="C169" s="1236"/>
      <c r="D169" s="1259" t="str">
        <f>VLOOKUP($A169,'Pre-Assessment Estimator'!$A$10:$Z$225,D$2,FALSE)</f>
        <v>LE 02</v>
      </c>
      <c r="E169" s="1260" t="str">
        <f>VLOOKUP($A169,'Pre-Assessment Estimator'!$A$10:$Z$225,E$2,FALSE)</f>
        <v>Determin ecological possibilities</v>
      </c>
      <c r="F169" s="574">
        <f>VLOOKUP($A169,'Pre-Assessment Estimator'!$A$10:$Z$225,F$2,FALSE)</f>
        <v>1</v>
      </c>
      <c r="G169" s="580" t="str">
        <f>IF(VLOOKUP($A169,'Pre-Assessment Estimator'!$A$10:$Z$225,G$2,FALSE)=0,"",VLOOKUP($A169,'Pre-Assessment Estimator'!$A$10:$Z$225,G$2,FALSE))</f>
        <v/>
      </c>
      <c r="H169" s="1222">
        <f>VLOOKUP($A169,'Pre-Assessment Estimator'!$A$10:$Z$225,H$2,FALSE)</f>
        <v>0</v>
      </c>
      <c r="I169" s="576" t="str">
        <f>VLOOKUP($A169,'Pre-Assessment Estimator'!$A$10:$Z$225,I$2,FALSE)</f>
        <v>N/A</v>
      </c>
      <c r="J169" s="577" t="str">
        <f>IF(VLOOKUP($A169,'Pre-Assessment Estimator'!$A$10:$Z$225,J$2,FALSE)=0,"",VLOOKUP($A169,'Pre-Assessment Estimator'!$A$10:$Z$225,J$2,FALSE))</f>
        <v/>
      </c>
      <c r="K169" s="577" t="str">
        <f>IF(VLOOKUP($A169,'Pre-Assessment Estimator'!$A$10:$Z$225,K$2,FALSE)=0,"",VLOOKUP($A169,'Pre-Assessment Estimator'!$A$10:$Z$225,K$2,FALSE))</f>
        <v/>
      </c>
      <c r="L169" s="578" t="str">
        <f>IF(VLOOKUP($A169,'Pre-Assessment Estimator'!$A$10:$Z$225,L$2,FALSE)=0,"",VLOOKUP($A169,'Pre-Assessment Estimator'!$A$10:$Z$225,L$2,FALSE))</f>
        <v/>
      </c>
      <c r="M169" s="579"/>
      <c r="N169" s="580" t="str">
        <f>IF(VLOOKUP($A169,'Pre-Assessment Estimator'!$A$10:$Z$225,N$2,FALSE)=0,"",VLOOKUP($A169,'Pre-Assessment Estimator'!$A$10:$Z$225,N$2,FALSE))</f>
        <v/>
      </c>
      <c r="O169" s="575">
        <f>VLOOKUP($A169,'Pre-Assessment Estimator'!$A$10:$Z$225,O$2,FALSE)</f>
        <v>0</v>
      </c>
      <c r="P169" s="574" t="str">
        <f>VLOOKUP($A169,'Pre-Assessment Estimator'!$A$10:$Z$225,P$2,FALSE)</f>
        <v>N/A</v>
      </c>
      <c r="Q169" s="577" t="str">
        <f>IF(VLOOKUP($A169,'Pre-Assessment Estimator'!$A$10:$Z$225,Q$2,FALSE)=0,"",VLOOKUP($A169,'Pre-Assessment Estimator'!$A$10:$Z$225,Q$2,FALSE))</f>
        <v/>
      </c>
      <c r="R169" s="577" t="str">
        <f>IF(VLOOKUP($A169,'Pre-Assessment Estimator'!$A$10:$Z$225,R$2,FALSE)=0,"",VLOOKUP($A169,'Pre-Assessment Estimator'!$A$10:$Z$225,R$2,FALSE))</f>
        <v/>
      </c>
      <c r="S169" s="578" t="str">
        <f>IF(VLOOKUP($A169,'Pre-Assessment Estimator'!$A$10:$Z$225,S$2,FALSE)=0,"",VLOOKUP($A169,'Pre-Assessment Estimator'!$A$10:$Z$225,S$2,FALSE))</f>
        <v/>
      </c>
      <c r="T169" s="581"/>
      <c r="U169" s="580" t="str">
        <f>IF(VLOOKUP($A169,'Pre-Assessment Estimator'!$A$10:$Z$225,U$2,FALSE)=0,"",VLOOKUP($A169,'Pre-Assessment Estimator'!$A$10:$Z$225,U$2,FALSE))</f>
        <v/>
      </c>
      <c r="V169" s="575">
        <f>VLOOKUP($A169,'Pre-Assessment Estimator'!$A$10:$Z$225,V$2,FALSE)</f>
        <v>0</v>
      </c>
      <c r="W169" s="574" t="str">
        <f>VLOOKUP($A169,'Pre-Assessment Estimator'!$A$10:$Z$225,W$2,FALSE)</f>
        <v>N/A</v>
      </c>
      <c r="X169" s="577" t="str">
        <f>IF(VLOOKUP($A169,'Pre-Assessment Estimator'!$A$10:$Z$225,X$2,FALSE)=0,"",VLOOKUP($A169,'Pre-Assessment Estimator'!$A$10:$Z$225,X$2,FALSE))</f>
        <v/>
      </c>
      <c r="Y169" s="577" t="str">
        <f>IF(VLOOKUP($A169,'Pre-Assessment Estimator'!$A$10:$Z$225,Y$2,FALSE)=0,"",VLOOKUP($A169,'Pre-Assessment Estimator'!$A$10:$Z$225,Y$2,FALSE))</f>
        <v/>
      </c>
      <c r="Z169" s="370" t="str">
        <f>IF(VLOOKUP($A169,'Pre-Assessment Estimator'!$A$10:$Z$225,Z$2,FALSE)=0,"",VLOOKUP($A169,'Pre-Assessment Estimator'!$A$10:$Z$225,Z$2,FALSE))</f>
        <v/>
      </c>
      <c r="AA169" s="696">
        <v>159</v>
      </c>
      <c r="AB169" s="577"/>
      <c r="AF169" s="386">
        <f t="shared" si="3"/>
        <v>1</v>
      </c>
    </row>
    <row r="170" spans="1:32" x14ac:dyDescent="0.25">
      <c r="A170" s="823">
        <v>161</v>
      </c>
      <c r="B170" s="1236" t="s">
        <v>71</v>
      </c>
      <c r="C170" s="1236"/>
      <c r="D170" s="1258" t="str">
        <f>VLOOKUP($A170,'Pre-Assessment Estimator'!$A$10:$Z$225,D$2,FALSE)</f>
        <v>LE 03</v>
      </c>
      <c r="E170" s="1258" t="str">
        <f>VLOOKUP($A170,'Pre-Assessment Estimator'!$A$10:$Z$225,E$2,FALSE)</f>
        <v>LE 03 Managing impacts on ecology</v>
      </c>
      <c r="F170" s="574">
        <f>VLOOKUP($A170,'Pre-Assessment Estimator'!$A$10:$Z$225,F$2,FALSE)</f>
        <v>3</v>
      </c>
      <c r="G170" s="580" t="str">
        <f>IF(VLOOKUP($A170,'Pre-Assessment Estimator'!$A$10:$Z$225,G$2,FALSE)=0,"",VLOOKUP($A170,'Pre-Assessment Estimator'!$A$10:$Z$225,G$2,FALSE))</f>
        <v/>
      </c>
      <c r="H170" s="1222" t="str">
        <f>VLOOKUP($A170,'Pre-Assessment Estimator'!$A$10:$Z$225,H$2,FALSE)</f>
        <v>0 c. 0 %</v>
      </c>
      <c r="I170" s="576" t="str">
        <f>VLOOKUP($A170,'Pre-Assessment Estimator'!$A$10:$Z$225,I$2,FALSE)</f>
        <v>N/A</v>
      </c>
      <c r="J170" s="577" t="str">
        <f>IF(VLOOKUP($A170,'Pre-Assessment Estimator'!$A$10:$Z$225,J$2,FALSE)=0,"",VLOOKUP($A170,'Pre-Assessment Estimator'!$A$10:$Z$225,J$2,FALSE))</f>
        <v/>
      </c>
      <c r="K170" s="577" t="str">
        <f>IF(VLOOKUP($A170,'Pre-Assessment Estimator'!$A$10:$Z$225,K$2,FALSE)=0,"",VLOOKUP($A170,'Pre-Assessment Estimator'!$A$10:$Z$225,K$2,FALSE))</f>
        <v/>
      </c>
      <c r="L170" s="578" t="str">
        <f>IF(VLOOKUP($A170,'Pre-Assessment Estimator'!$A$10:$Z$225,L$2,FALSE)=0,"",VLOOKUP($A170,'Pre-Assessment Estimator'!$A$10:$Z$225,L$2,FALSE))</f>
        <v/>
      </c>
      <c r="M170" s="579"/>
      <c r="N170" s="580" t="str">
        <f>IF(VLOOKUP($A170,'Pre-Assessment Estimator'!$A$10:$Z$225,N$2,FALSE)=0,"",VLOOKUP($A170,'Pre-Assessment Estimator'!$A$10:$Z$225,N$2,FALSE))</f>
        <v/>
      </c>
      <c r="O170" s="575" t="str">
        <f>VLOOKUP($A170,'Pre-Assessment Estimator'!$A$10:$Z$225,O$2,FALSE)</f>
        <v>0 c. 0 %</v>
      </c>
      <c r="P170" s="574" t="str">
        <f>VLOOKUP($A170,'Pre-Assessment Estimator'!$A$10:$Z$225,P$2,FALSE)</f>
        <v>N/A</v>
      </c>
      <c r="Q170" s="577" t="str">
        <f>IF(VLOOKUP($A170,'Pre-Assessment Estimator'!$A$10:$Z$225,Q$2,FALSE)=0,"",VLOOKUP($A170,'Pre-Assessment Estimator'!$A$10:$Z$225,Q$2,FALSE))</f>
        <v/>
      </c>
      <c r="R170" s="577" t="str">
        <f>IF(VLOOKUP($A170,'Pre-Assessment Estimator'!$A$10:$Z$225,R$2,FALSE)=0,"",VLOOKUP($A170,'Pre-Assessment Estimator'!$A$10:$Z$225,R$2,FALSE))</f>
        <v/>
      </c>
      <c r="S170" s="578" t="str">
        <f>IF(VLOOKUP($A170,'Pre-Assessment Estimator'!$A$10:$Z$225,S$2,FALSE)=0,"",VLOOKUP($A170,'Pre-Assessment Estimator'!$A$10:$Z$225,S$2,FALSE))</f>
        <v/>
      </c>
      <c r="T170" s="581"/>
      <c r="U170" s="580" t="str">
        <f>IF(VLOOKUP($A170,'Pre-Assessment Estimator'!$A$10:$Z$225,U$2,FALSE)=0,"",VLOOKUP($A170,'Pre-Assessment Estimator'!$A$10:$Z$225,U$2,FALSE))</f>
        <v/>
      </c>
      <c r="V170" s="575" t="str">
        <f>VLOOKUP($A170,'Pre-Assessment Estimator'!$A$10:$Z$225,V$2,FALSE)</f>
        <v>0 c. 0 %</v>
      </c>
      <c r="W170" s="574" t="str">
        <f>VLOOKUP($A170,'Pre-Assessment Estimator'!$A$10:$Z$225,W$2,FALSE)</f>
        <v>N/A</v>
      </c>
      <c r="X170" s="577" t="str">
        <f>IF(VLOOKUP($A170,'Pre-Assessment Estimator'!$A$10:$Z$225,X$2,FALSE)=0,"",VLOOKUP($A170,'Pre-Assessment Estimator'!$A$10:$Z$225,X$2,FALSE))</f>
        <v/>
      </c>
      <c r="Y170" s="577" t="str">
        <f>IF(VLOOKUP($A170,'Pre-Assessment Estimator'!$A$10:$Z$225,Y$2,FALSE)=0,"",VLOOKUP($A170,'Pre-Assessment Estimator'!$A$10:$Z$225,Y$2,FALSE))</f>
        <v/>
      </c>
      <c r="Z170" s="370" t="str">
        <f>IF(VLOOKUP($A170,'Pre-Assessment Estimator'!$A$10:$Z$225,Z$2,FALSE)=0,"",VLOOKUP($A170,'Pre-Assessment Estimator'!$A$10:$Z$225,Z$2,FALSE))</f>
        <v/>
      </c>
      <c r="AA170" s="696">
        <v>160</v>
      </c>
      <c r="AB170" s="577"/>
      <c r="AF170" s="386">
        <f t="shared" si="3"/>
        <v>1</v>
      </c>
    </row>
    <row r="171" spans="1:32" ht="30" x14ac:dyDescent="0.25">
      <c r="A171" s="823">
        <v>162</v>
      </c>
      <c r="B171" s="1236" t="s">
        <v>71</v>
      </c>
      <c r="C171" s="1236"/>
      <c r="D171" s="1259" t="str">
        <f>VLOOKUP($A171,'Pre-Assessment Estimator'!$A$10:$Z$225,D$2,FALSE)</f>
        <v>LE 03</v>
      </c>
      <c r="E171" s="1260" t="str">
        <f>VLOOKUP($A171,'Pre-Assessment Estimator'!$A$10:$Z$225,E$2,FALSE)</f>
        <v>Planning and measures on site (EU taxonomy requirement: criterion 2-6)</v>
      </c>
      <c r="F171" s="574">
        <f>VLOOKUP($A171,'Pre-Assessment Estimator'!$A$10:$Z$225,F$2,FALSE)</f>
        <v>1</v>
      </c>
      <c r="G171" s="580" t="str">
        <f>IF(VLOOKUP($A171,'Pre-Assessment Estimator'!$A$10:$Z$225,G$2,FALSE)=0,"",VLOOKUP($A171,'Pre-Assessment Estimator'!$A$10:$Z$225,G$2,FALSE))</f>
        <v/>
      </c>
      <c r="H171" s="1222">
        <f>VLOOKUP($A171,'Pre-Assessment Estimator'!$A$10:$Z$225,H$2,FALSE)</f>
        <v>0</v>
      </c>
      <c r="I171" s="576" t="str">
        <f>VLOOKUP($A171,'Pre-Assessment Estimator'!$A$10:$Z$225,I$2,FALSE)</f>
        <v>N/A</v>
      </c>
      <c r="J171" s="577" t="str">
        <f>IF(VLOOKUP($A171,'Pre-Assessment Estimator'!$A$10:$Z$225,J$2,FALSE)=0,"",VLOOKUP($A171,'Pre-Assessment Estimator'!$A$10:$Z$225,J$2,FALSE))</f>
        <v/>
      </c>
      <c r="K171" s="577" t="str">
        <f>IF(VLOOKUP($A171,'Pre-Assessment Estimator'!$A$10:$Z$225,K$2,FALSE)=0,"",VLOOKUP($A171,'Pre-Assessment Estimator'!$A$10:$Z$225,K$2,FALSE))</f>
        <v/>
      </c>
      <c r="L171" s="578" t="str">
        <f>IF(VLOOKUP($A171,'Pre-Assessment Estimator'!$A$10:$Z$225,L$2,FALSE)=0,"",VLOOKUP($A171,'Pre-Assessment Estimator'!$A$10:$Z$225,L$2,FALSE))</f>
        <v/>
      </c>
      <c r="M171" s="579"/>
      <c r="N171" s="580" t="str">
        <f>IF(VLOOKUP($A171,'Pre-Assessment Estimator'!$A$10:$Z$225,N$2,FALSE)=0,"",VLOOKUP($A171,'Pre-Assessment Estimator'!$A$10:$Z$225,N$2,FALSE))</f>
        <v/>
      </c>
      <c r="O171" s="575">
        <f>VLOOKUP($A171,'Pre-Assessment Estimator'!$A$10:$Z$225,O$2,FALSE)</f>
        <v>0</v>
      </c>
      <c r="P171" s="574" t="str">
        <f>VLOOKUP($A171,'Pre-Assessment Estimator'!$A$10:$Z$225,P$2,FALSE)</f>
        <v>N/A</v>
      </c>
      <c r="Q171" s="577" t="str">
        <f>IF(VLOOKUP($A171,'Pre-Assessment Estimator'!$A$10:$Z$225,Q$2,FALSE)=0,"",VLOOKUP($A171,'Pre-Assessment Estimator'!$A$10:$Z$225,Q$2,FALSE))</f>
        <v/>
      </c>
      <c r="R171" s="577" t="str">
        <f>IF(VLOOKUP($A171,'Pre-Assessment Estimator'!$A$10:$Z$225,R$2,FALSE)=0,"",VLOOKUP($A171,'Pre-Assessment Estimator'!$A$10:$Z$225,R$2,FALSE))</f>
        <v/>
      </c>
      <c r="S171" s="578" t="str">
        <f>IF(VLOOKUP($A171,'Pre-Assessment Estimator'!$A$10:$Z$225,S$2,FALSE)=0,"",VLOOKUP($A171,'Pre-Assessment Estimator'!$A$10:$Z$225,S$2,FALSE))</f>
        <v/>
      </c>
      <c r="T171" s="581"/>
      <c r="U171" s="580" t="str">
        <f>IF(VLOOKUP($A171,'Pre-Assessment Estimator'!$A$10:$Z$225,U$2,FALSE)=0,"",VLOOKUP($A171,'Pre-Assessment Estimator'!$A$10:$Z$225,U$2,FALSE))</f>
        <v/>
      </c>
      <c r="V171" s="575">
        <f>VLOOKUP($A171,'Pre-Assessment Estimator'!$A$10:$Z$225,V$2,FALSE)</f>
        <v>0</v>
      </c>
      <c r="W171" s="574" t="str">
        <f>VLOOKUP($A171,'Pre-Assessment Estimator'!$A$10:$Z$225,W$2,FALSE)</f>
        <v>N/A</v>
      </c>
      <c r="X171" s="577" t="str">
        <f>IF(VLOOKUP($A171,'Pre-Assessment Estimator'!$A$10:$Z$225,X$2,FALSE)=0,"",VLOOKUP($A171,'Pre-Assessment Estimator'!$A$10:$Z$225,X$2,FALSE))</f>
        <v/>
      </c>
      <c r="Y171" s="577" t="str">
        <f>IF(VLOOKUP($A171,'Pre-Assessment Estimator'!$A$10:$Z$225,Y$2,FALSE)=0,"",VLOOKUP($A171,'Pre-Assessment Estimator'!$A$10:$Z$225,Y$2,FALSE))</f>
        <v/>
      </c>
      <c r="Z171" s="370" t="str">
        <f>IF(VLOOKUP($A171,'Pre-Assessment Estimator'!$A$10:$Z$225,Z$2,FALSE)=0,"",VLOOKUP($A171,'Pre-Assessment Estimator'!$A$10:$Z$225,Z$2,FALSE))</f>
        <v/>
      </c>
      <c r="AA171" s="696">
        <v>161</v>
      </c>
      <c r="AB171" s="577"/>
      <c r="AF171" s="386">
        <f t="shared" si="3"/>
        <v>1</v>
      </c>
    </row>
    <row r="172" spans="1:32" x14ac:dyDescent="0.25">
      <c r="A172" s="823">
        <v>163</v>
      </c>
      <c r="B172" s="1236" t="s">
        <v>71</v>
      </c>
      <c r="C172" s="1236"/>
      <c r="D172" s="1259" t="str">
        <f>VLOOKUP($A172,'Pre-Assessment Estimator'!$A$10:$Z$225,D$2,FALSE)</f>
        <v>LE 03</v>
      </c>
      <c r="E172" s="1260" t="str">
        <f>VLOOKUP($A172,'Pre-Assessment Estimator'!$A$10:$Z$225,E$2,FALSE)</f>
        <v>Managing negative impacts (EU taxonomy requirement: criterion 2-6)</v>
      </c>
      <c r="F172" s="574">
        <f>VLOOKUP($A172,'Pre-Assessment Estimator'!$A$10:$Z$225,F$2,FALSE)</f>
        <v>2</v>
      </c>
      <c r="G172" s="580" t="str">
        <f>IF(VLOOKUP($A172,'Pre-Assessment Estimator'!$A$10:$Z$225,G$2,FALSE)=0,"",VLOOKUP($A172,'Pre-Assessment Estimator'!$A$10:$Z$225,G$2,FALSE))</f>
        <v/>
      </c>
      <c r="H172" s="1222">
        <f>VLOOKUP($A172,'Pre-Assessment Estimator'!$A$10:$Z$225,H$2,FALSE)</f>
        <v>0</v>
      </c>
      <c r="I172" s="576" t="str">
        <f>VLOOKUP($A172,'Pre-Assessment Estimator'!$A$10:$Z$225,I$2,FALSE)</f>
        <v>N/A</v>
      </c>
      <c r="J172" s="577" t="str">
        <f>IF(VLOOKUP($A172,'Pre-Assessment Estimator'!$A$10:$Z$225,J$2,FALSE)=0,"",VLOOKUP($A172,'Pre-Assessment Estimator'!$A$10:$Z$225,J$2,FALSE))</f>
        <v/>
      </c>
      <c r="K172" s="577" t="str">
        <f>IF(VLOOKUP($A172,'Pre-Assessment Estimator'!$A$10:$Z$225,K$2,FALSE)=0,"",VLOOKUP($A172,'Pre-Assessment Estimator'!$A$10:$Z$225,K$2,FALSE))</f>
        <v/>
      </c>
      <c r="L172" s="578" t="str">
        <f>IF(VLOOKUP($A172,'Pre-Assessment Estimator'!$A$10:$Z$225,L$2,FALSE)=0,"",VLOOKUP($A172,'Pre-Assessment Estimator'!$A$10:$Z$225,L$2,FALSE))</f>
        <v/>
      </c>
      <c r="M172" s="579"/>
      <c r="N172" s="580" t="str">
        <f>IF(VLOOKUP($A172,'Pre-Assessment Estimator'!$A$10:$Z$225,N$2,FALSE)=0,"",VLOOKUP($A172,'Pre-Assessment Estimator'!$A$10:$Z$225,N$2,FALSE))</f>
        <v/>
      </c>
      <c r="O172" s="575">
        <f>VLOOKUP($A172,'Pre-Assessment Estimator'!$A$10:$Z$225,O$2,FALSE)</f>
        <v>0</v>
      </c>
      <c r="P172" s="574" t="str">
        <f>VLOOKUP($A172,'Pre-Assessment Estimator'!$A$10:$Z$225,P$2,FALSE)</f>
        <v>N/A</v>
      </c>
      <c r="Q172" s="577" t="str">
        <f>IF(VLOOKUP($A172,'Pre-Assessment Estimator'!$A$10:$Z$225,Q$2,FALSE)=0,"",VLOOKUP($A172,'Pre-Assessment Estimator'!$A$10:$Z$225,Q$2,FALSE))</f>
        <v/>
      </c>
      <c r="R172" s="577" t="str">
        <f>IF(VLOOKUP($A172,'Pre-Assessment Estimator'!$A$10:$Z$225,R$2,FALSE)=0,"",VLOOKUP($A172,'Pre-Assessment Estimator'!$A$10:$Z$225,R$2,FALSE))</f>
        <v/>
      </c>
      <c r="S172" s="578" t="str">
        <f>IF(VLOOKUP($A172,'Pre-Assessment Estimator'!$A$10:$Z$225,S$2,FALSE)=0,"",VLOOKUP($A172,'Pre-Assessment Estimator'!$A$10:$Z$225,S$2,FALSE))</f>
        <v/>
      </c>
      <c r="T172" s="581"/>
      <c r="U172" s="580" t="str">
        <f>IF(VLOOKUP($A172,'Pre-Assessment Estimator'!$A$10:$Z$225,U$2,FALSE)=0,"",VLOOKUP($A172,'Pre-Assessment Estimator'!$A$10:$Z$225,U$2,FALSE))</f>
        <v/>
      </c>
      <c r="V172" s="575">
        <f>VLOOKUP($A172,'Pre-Assessment Estimator'!$A$10:$Z$225,V$2,FALSE)</f>
        <v>0</v>
      </c>
      <c r="W172" s="574" t="str">
        <f>VLOOKUP($A172,'Pre-Assessment Estimator'!$A$10:$Z$225,W$2,FALSE)</f>
        <v>N/A</v>
      </c>
      <c r="X172" s="577" t="str">
        <f>IF(VLOOKUP($A172,'Pre-Assessment Estimator'!$A$10:$Z$225,X$2,FALSE)=0,"",VLOOKUP($A172,'Pre-Assessment Estimator'!$A$10:$Z$225,X$2,FALSE))</f>
        <v/>
      </c>
      <c r="Y172" s="577" t="str">
        <f>IF(VLOOKUP($A172,'Pre-Assessment Estimator'!$A$10:$Z$225,Y$2,FALSE)=0,"",VLOOKUP($A172,'Pre-Assessment Estimator'!$A$10:$Z$225,Y$2,FALSE))</f>
        <v/>
      </c>
      <c r="Z172" s="370" t="str">
        <f>IF(VLOOKUP($A172,'Pre-Assessment Estimator'!$A$10:$Z$225,Z$2,FALSE)=0,"",VLOOKUP($A172,'Pre-Assessment Estimator'!$A$10:$Z$225,Z$2,FALSE))</f>
        <v/>
      </c>
      <c r="AA172" s="696">
        <v>162</v>
      </c>
      <c r="AB172" s="577"/>
      <c r="AF172" s="386">
        <f t="shared" si="3"/>
        <v>1</v>
      </c>
    </row>
    <row r="173" spans="1:32" x14ac:dyDescent="0.25">
      <c r="A173" s="823">
        <v>164</v>
      </c>
      <c r="B173" s="1236" t="s">
        <v>71</v>
      </c>
      <c r="C173" s="1236"/>
      <c r="D173" s="1258" t="str">
        <f>VLOOKUP($A173,'Pre-Assessment Estimator'!$A$10:$Z$225,D$2,FALSE)</f>
        <v>LE 04</v>
      </c>
      <c r="E173" s="1258" t="str">
        <f>VLOOKUP($A173,'Pre-Assessment Estimator'!$A$10:$Z$225,E$2,FALSE)</f>
        <v>LE 04 Ecological change and enhancement</v>
      </c>
      <c r="F173" s="574">
        <f>VLOOKUP($A173,'Pre-Assessment Estimator'!$A$10:$Z$225,F$2,FALSE)</f>
        <v>4</v>
      </c>
      <c r="G173" s="580" t="str">
        <f>IF(VLOOKUP($A173,'Pre-Assessment Estimator'!$A$10:$Z$225,G$2,FALSE)=0,"",VLOOKUP($A173,'Pre-Assessment Estimator'!$A$10:$Z$225,G$2,FALSE))</f>
        <v/>
      </c>
      <c r="H173" s="1222" t="str">
        <f>VLOOKUP($A173,'Pre-Assessment Estimator'!$A$10:$Z$225,H$2,FALSE)</f>
        <v>0 c. 0 %</v>
      </c>
      <c r="I173" s="576" t="str">
        <f>VLOOKUP($A173,'Pre-Assessment Estimator'!$A$10:$Z$225,I$2,FALSE)</f>
        <v>N/A</v>
      </c>
      <c r="J173" s="577" t="str">
        <f>IF(VLOOKUP($A173,'Pre-Assessment Estimator'!$A$10:$Z$225,J$2,FALSE)=0,"",VLOOKUP($A173,'Pre-Assessment Estimator'!$A$10:$Z$225,J$2,FALSE))</f>
        <v/>
      </c>
      <c r="K173" s="577" t="str">
        <f>IF(VLOOKUP($A173,'Pre-Assessment Estimator'!$A$10:$Z$225,K$2,FALSE)=0,"",VLOOKUP($A173,'Pre-Assessment Estimator'!$A$10:$Z$225,K$2,FALSE))</f>
        <v/>
      </c>
      <c r="L173" s="578" t="str">
        <f>IF(VLOOKUP($A173,'Pre-Assessment Estimator'!$A$10:$Z$225,L$2,FALSE)=0,"",VLOOKUP($A173,'Pre-Assessment Estimator'!$A$10:$Z$225,L$2,FALSE))</f>
        <v/>
      </c>
      <c r="M173" s="579"/>
      <c r="N173" s="580" t="str">
        <f>IF(VLOOKUP($A173,'Pre-Assessment Estimator'!$A$10:$Z$225,N$2,FALSE)=0,"",VLOOKUP($A173,'Pre-Assessment Estimator'!$A$10:$Z$225,N$2,FALSE))</f>
        <v/>
      </c>
      <c r="O173" s="575" t="str">
        <f>VLOOKUP($A173,'Pre-Assessment Estimator'!$A$10:$Z$225,O$2,FALSE)</f>
        <v>0 c. 0 %</v>
      </c>
      <c r="P173" s="574" t="str">
        <f>VLOOKUP($A173,'Pre-Assessment Estimator'!$A$10:$Z$225,P$2,FALSE)</f>
        <v>N/A</v>
      </c>
      <c r="Q173" s="577" t="str">
        <f>IF(VLOOKUP($A173,'Pre-Assessment Estimator'!$A$10:$Z$225,Q$2,FALSE)=0,"",VLOOKUP($A173,'Pre-Assessment Estimator'!$A$10:$Z$225,Q$2,FALSE))</f>
        <v/>
      </c>
      <c r="R173" s="577" t="str">
        <f>IF(VLOOKUP($A173,'Pre-Assessment Estimator'!$A$10:$Z$225,R$2,FALSE)=0,"",VLOOKUP($A173,'Pre-Assessment Estimator'!$A$10:$Z$225,R$2,FALSE))</f>
        <v/>
      </c>
      <c r="S173" s="578" t="str">
        <f>IF(VLOOKUP($A173,'Pre-Assessment Estimator'!$A$10:$Z$225,S$2,FALSE)=0,"",VLOOKUP($A173,'Pre-Assessment Estimator'!$A$10:$Z$225,S$2,FALSE))</f>
        <v/>
      </c>
      <c r="T173" s="581"/>
      <c r="U173" s="580" t="str">
        <f>IF(VLOOKUP($A173,'Pre-Assessment Estimator'!$A$10:$Z$225,U$2,FALSE)=0,"",VLOOKUP($A173,'Pre-Assessment Estimator'!$A$10:$Z$225,U$2,FALSE))</f>
        <v/>
      </c>
      <c r="V173" s="575" t="str">
        <f>VLOOKUP($A173,'Pre-Assessment Estimator'!$A$10:$Z$225,V$2,FALSE)</f>
        <v>0 c. 0 %</v>
      </c>
      <c r="W173" s="574" t="str">
        <f>VLOOKUP($A173,'Pre-Assessment Estimator'!$A$10:$Z$225,W$2,FALSE)</f>
        <v>N/A</v>
      </c>
      <c r="X173" s="577" t="str">
        <f>IF(VLOOKUP($A173,'Pre-Assessment Estimator'!$A$10:$Z$225,X$2,FALSE)=0,"",VLOOKUP($A173,'Pre-Assessment Estimator'!$A$10:$Z$225,X$2,FALSE))</f>
        <v/>
      </c>
      <c r="Y173" s="577" t="str">
        <f>IF(VLOOKUP($A173,'Pre-Assessment Estimator'!$A$10:$Z$225,Y$2,FALSE)=0,"",VLOOKUP($A173,'Pre-Assessment Estimator'!$A$10:$Z$225,Y$2,FALSE))</f>
        <v/>
      </c>
      <c r="Z173" s="370" t="str">
        <f>IF(VLOOKUP($A173,'Pre-Assessment Estimator'!$A$10:$Z$225,Z$2,FALSE)=0,"",VLOOKUP($A173,'Pre-Assessment Estimator'!$A$10:$Z$225,Z$2,FALSE))</f>
        <v/>
      </c>
      <c r="AA173" s="696">
        <v>163</v>
      </c>
      <c r="AB173" s="577"/>
      <c r="AF173" s="386">
        <f t="shared" si="3"/>
        <v>1</v>
      </c>
    </row>
    <row r="174" spans="1:32" x14ac:dyDescent="0.25">
      <c r="A174" s="823">
        <v>165</v>
      </c>
      <c r="B174" s="1236" t="s">
        <v>71</v>
      </c>
      <c r="C174" s="1236"/>
      <c r="D174" s="1259" t="str">
        <f>VLOOKUP($A174,'Pre-Assessment Estimator'!$A$10:$Z$225,D$2,FALSE)</f>
        <v>LE 04</v>
      </c>
      <c r="E174" s="1260" t="str">
        <f>VLOOKUP($A174,'Pre-Assessment Estimator'!$A$10:$Z$225,E$2,FALSE)</f>
        <v>Pre-requisite: managing negative impacts on ecology</v>
      </c>
      <c r="F174" s="574" t="str">
        <f>VLOOKUP($A174,'Pre-Assessment Estimator'!$A$10:$Z$225,F$2,FALSE)</f>
        <v>Yes/No</v>
      </c>
      <c r="G174" s="580" t="str">
        <f>IF(VLOOKUP($A174,'Pre-Assessment Estimator'!$A$10:$Z$225,G$2,FALSE)=0,"",VLOOKUP($A174,'Pre-Assessment Estimator'!$A$10:$Z$225,G$2,FALSE))</f>
        <v/>
      </c>
      <c r="H174" s="1222" t="str">
        <f>VLOOKUP($A174,'Pre-Assessment Estimator'!$A$10:$Z$225,H$2,FALSE)</f>
        <v>-</v>
      </c>
      <c r="I174" s="576" t="str">
        <f>VLOOKUP($A174,'Pre-Assessment Estimator'!$A$10:$Z$225,I$2,FALSE)</f>
        <v>N/A</v>
      </c>
      <c r="J174" s="577" t="str">
        <f>IF(VLOOKUP($A174,'Pre-Assessment Estimator'!$A$10:$Z$225,J$2,FALSE)=0,"",VLOOKUP($A174,'Pre-Assessment Estimator'!$A$10:$Z$225,J$2,FALSE))</f>
        <v/>
      </c>
      <c r="K174" s="577" t="str">
        <f>IF(VLOOKUP($A174,'Pre-Assessment Estimator'!$A$10:$Z$225,K$2,FALSE)=0,"",VLOOKUP($A174,'Pre-Assessment Estimator'!$A$10:$Z$225,K$2,FALSE))</f>
        <v/>
      </c>
      <c r="L174" s="578" t="str">
        <f>IF(VLOOKUP($A174,'Pre-Assessment Estimator'!$A$10:$Z$225,L$2,FALSE)=0,"",VLOOKUP($A174,'Pre-Assessment Estimator'!$A$10:$Z$225,L$2,FALSE))</f>
        <v/>
      </c>
      <c r="M174" s="579"/>
      <c r="N174" s="580" t="str">
        <f>IF(VLOOKUP($A174,'Pre-Assessment Estimator'!$A$10:$Z$225,N$2,FALSE)=0,"",VLOOKUP($A174,'Pre-Assessment Estimator'!$A$10:$Z$225,N$2,FALSE))</f>
        <v/>
      </c>
      <c r="O174" s="575" t="str">
        <f>VLOOKUP($A174,'Pre-Assessment Estimator'!$A$10:$Z$225,O$2,FALSE)</f>
        <v>-</v>
      </c>
      <c r="P174" s="574" t="str">
        <f>VLOOKUP($A174,'Pre-Assessment Estimator'!$A$10:$Z$225,P$2,FALSE)</f>
        <v>N/A</v>
      </c>
      <c r="Q174" s="577" t="str">
        <f>IF(VLOOKUP($A174,'Pre-Assessment Estimator'!$A$10:$Z$225,Q$2,FALSE)=0,"",VLOOKUP($A174,'Pre-Assessment Estimator'!$A$10:$Z$225,Q$2,FALSE))</f>
        <v/>
      </c>
      <c r="R174" s="577" t="str">
        <f>IF(VLOOKUP($A174,'Pre-Assessment Estimator'!$A$10:$Z$225,R$2,FALSE)=0,"",VLOOKUP($A174,'Pre-Assessment Estimator'!$A$10:$Z$225,R$2,FALSE))</f>
        <v/>
      </c>
      <c r="S174" s="578" t="str">
        <f>IF(VLOOKUP($A174,'Pre-Assessment Estimator'!$A$10:$Z$225,S$2,FALSE)=0,"",VLOOKUP($A174,'Pre-Assessment Estimator'!$A$10:$Z$225,S$2,FALSE))</f>
        <v/>
      </c>
      <c r="T174" s="581"/>
      <c r="U174" s="580" t="str">
        <f>IF(VLOOKUP($A174,'Pre-Assessment Estimator'!$A$10:$Z$225,U$2,FALSE)=0,"",VLOOKUP($A174,'Pre-Assessment Estimator'!$A$10:$Z$225,U$2,FALSE))</f>
        <v/>
      </c>
      <c r="V174" s="575" t="str">
        <f>VLOOKUP($A174,'Pre-Assessment Estimator'!$A$10:$Z$225,V$2,FALSE)</f>
        <v>-</v>
      </c>
      <c r="W174" s="574" t="str">
        <f>VLOOKUP($A174,'Pre-Assessment Estimator'!$A$10:$Z$225,W$2,FALSE)</f>
        <v>N/A</v>
      </c>
      <c r="X174" s="577" t="str">
        <f>IF(VLOOKUP($A174,'Pre-Assessment Estimator'!$A$10:$Z$225,X$2,FALSE)=0,"",VLOOKUP($A174,'Pre-Assessment Estimator'!$A$10:$Z$225,X$2,FALSE))</f>
        <v/>
      </c>
      <c r="Y174" s="577" t="str">
        <f>IF(VLOOKUP($A174,'Pre-Assessment Estimator'!$A$10:$Z$225,Y$2,FALSE)=0,"",VLOOKUP($A174,'Pre-Assessment Estimator'!$A$10:$Z$225,Y$2,FALSE))</f>
        <v/>
      </c>
      <c r="Z174" s="370" t="str">
        <f>IF(VLOOKUP($A174,'Pre-Assessment Estimator'!$A$10:$Z$225,Z$2,FALSE)=0,"",VLOOKUP($A174,'Pre-Assessment Estimator'!$A$10:$Z$225,Z$2,FALSE))</f>
        <v/>
      </c>
      <c r="AA174" s="696">
        <v>164</v>
      </c>
      <c r="AB174" s="577"/>
      <c r="AF174" s="386">
        <f t="shared" si="3"/>
        <v>1</v>
      </c>
    </row>
    <row r="175" spans="1:32" x14ac:dyDescent="0.25">
      <c r="A175" s="823">
        <v>166</v>
      </c>
      <c r="B175" s="1236" t="s">
        <v>71</v>
      </c>
      <c r="C175" s="1236"/>
      <c r="D175" s="1259" t="str">
        <f>VLOOKUP($A175,'Pre-Assessment Estimator'!$A$10:$Z$225,D$2,FALSE)</f>
        <v>LE 04</v>
      </c>
      <c r="E175" s="1260" t="str">
        <f>VLOOKUP($A175,'Pre-Assessment Estimator'!$A$10:$Z$225,E$2,FALSE)</f>
        <v>Ecological enhancement</v>
      </c>
      <c r="F175" s="574">
        <f>VLOOKUP($A175,'Pre-Assessment Estimator'!$A$10:$Z$225,F$2,FALSE)</f>
        <v>1</v>
      </c>
      <c r="G175" s="580" t="str">
        <f>IF(VLOOKUP($A175,'Pre-Assessment Estimator'!$A$10:$Z$225,G$2,FALSE)=0,"",VLOOKUP($A175,'Pre-Assessment Estimator'!$A$10:$Z$225,G$2,FALSE))</f>
        <v/>
      </c>
      <c r="H175" s="1222">
        <f>VLOOKUP($A175,'Pre-Assessment Estimator'!$A$10:$Z$225,H$2,FALSE)</f>
        <v>0</v>
      </c>
      <c r="I175" s="576" t="str">
        <f>VLOOKUP($A175,'Pre-Assessment Estimator'!$A$10:$Z$225,I$2,FALSE)</f>
        <v>Excellent</v>
      </c>
      <c r="J175" s="577" t="str">
        <f>IF(VLOOKUP($A175,'Pre-Assessment Estimator'!$A$10:$Z$225,J$2,FALSE)=0,"",VLOOKUP($A175,'Pre-Assessment Estimator'!$A$10:$Z$225,J$2,FALSE))</f>
        <v/>
      </c>
      <c r="K175" s="577" t="str">
        <f>IF(VLOOKUP($A175,'Pre-Assessment Estimator'!$A$10:$Z$225,K$2,FALSE)=0,"",VLOOKUP($A175,'Pre-Assessment Estimator'!$A$10:$Z$225,K$2,FALSE))</f>
        <v/>
      </c>
      <c r="L175" s="578" t="str">
        <f>IF(VLOOKUP($A175,'Pre-Assessment Estimator'!$A$10:$Z$225,L$2,FALSE)=0,"",VLOOKUP($A175,'Pre-Assessment Estimator'!$A$10:$Z$225,L$2,FALSE))</f>
        <v/>
      </c>
      <c r="M175" s="579"/>
      <c r="N175" s="580" t="str">
        <f>IF(VLOOKUP($A175,'Pre-Assessment Estimator'!$A$10:$Z$225,N$2,FALSE)=0,"",VLOOKUP($A175,'Pre-Assessment Estimator'!$A$10:$Z$225,N$2,FALSE))</f>
        <v/>
      </c>
      <c r="O175" s="575">
        <f>VLOOKUP($A175,'Pre-Assessment Estimator'!$A$10:$Z$225,O$2,FALSE)</f>
        <v>0</v>
      </c>
      <c r="P175" s="574" t="str">
        <f>VLOOKUP($A175,'Pre-Assessment Estimator'!$A$10:$Z$225,P$2,FALSE)</f>
        <v>Excellent</v>
      </c>
      <c r="Q175" s="577" t="str">
        <f>IF(VLOOKUP($A175,'Pre-Assessment Estimator'!$A$10:$Z$225,Q$2,FALSE)=0,"",VLOOKUP($A175,'Pre-Assessment Estimator'!$A$10:$Z$225,Q$2,FALSE))</f>
        <v/>
      </c>
      <c r="R175" s="577" t="str">
        <f>IF(VLOOKUP($A175,'Pre-Assessment Estimator'!$A$10:$Z$225,R$2,FALSE)=0,"",VLOOKUP($A175,'Pre-Assessment Estimator'!$A$10:$Z$225,R$2,FALSE))</f>
        <v/>
      </c>
      <c r="S175" s="578" t="str">
        <f>IF(VLOOKUP($A175,'Pre-Assessment Estimator'!$A$10:$Z$225,S$2,FALSE)=0,"",VLOOKUP($A175,'Pre-Assessment Estimator'!$A$10:$Z$225,S$2,FALSE))</f>
        <v/>
      </c>
      <c r="T175" s="581"/>
      <c r="U175" s="580" t="str">
        <f>IF(VLOOKUP($A175,'Pre-Assessment Estimator'!$A$10:$Z$225,U$2,FALSE)=0,"",VLOOKUP($A175,'Pre-Assessment Estimator'!$A$10:$Z$225,U$2,FALSE))</f>
        <v/>
      </c>
      <c r="V175" s="575">
        <f>VLOOKUP($A175,'Pre-Assessment Estimator'!$A$10:$Z$225,V$2,FALSE)</f>
        <v>0</v>
      </c>
      <c r="W175" s="574" t="str">
        <f>VLOOKUP($A175,'Pre-Assessment Estimator'!$A$10:$Z$225,W$2,FALSE)</f>
        <v>Excellent</v>
      </c>
      <c r="X175" s="577" t="str">
        <f>IF(VLOOKUP($A175,'Pre-Assessment Estimator'!$A$10:$Z$225,X$2,FALSE)=0,"",VLOOKUP($A175,'Pre-Assessment Estimator'!$A$10:$Z$225,X$2,FALSE))</f>
        <v/>
      </c>
      <c r="Y175" s="577" t="str">
        <f>IF(VLOOKUP($A175,'Pre-Assessment Estimator'!$A$10:$Z$225,Y$2,FALSE)=0,"",VLOOKUP($A175,'Pre-Assessment Estimator'!$A$10:$Z$225,Y$2,FALSE))</f>
        <v/>
      </c>
      <c r="Z175" s="370" t="str">
        <f>IF(VLOOKUP($A175,'Pre-Assessment Estimator'!$A$10:$Z$225,Z$2,FALSE)=0,"",VLOOKUP($A175,'Pre-Assessment Estimator'!$A$10:$Z$225,Z$2,FALSE))</f>
        <v/>
      </c>
      <c r="AA175" s="696">
        <v>165</v>
      </c>
      <c r="AB175" s="577"/>
      <c r="AF175" s="386">
        <f t="shared" si="3"/>
        <v>1</v>
      </c>
    </row>
    <row r="176" spans="1:32" x14ac:dyDescent="0.25">
      <c r="A176" s="823">
        <v>167</v>
      </c>
      <c r="B176" s="1236" t="s">
        <v>71</v>
      </c>
      <c r="C176" s="1236"/>
      <c r="D176" s="1259" t="str">
        <f>VLOOKUP($A176,'Pre-Assessment Estimator'!$A$10:$Z$225,D$2,FALSE)</f>
        <v>LE 04</v>
      </c>
      <c r="E176" s="1260" t="str">
        <f>VLOOKUP($A176,'Pre-Assessment Estimator'!$A$10:$Z$225,E$2,FALSE)</f>
        <v>Calculation of change in biodiversity</v>
      </c>
      <c r="F176" s="574">
        <f>VLOOKUP($A176,'Pre-Assessment Estimator'!$A$10:$Z$225,F$2,FALSE)</f>
        <v>3</v>
      </c>
      <c r="G176" s="580" t="str">
        <f>IF(VLOOKUP($A176,'Pre-Assessment Estimator'!$A$10:$Z$225,G$2,FALSE)=0,"",VLOOKUP($A176,'Pre-Assessment Estimator'!$A$10:$Z$225,G$2,FALSE))</f>
        <v/>
      </c>
      <c r="H176" s="1222">
        <f>VLOOKUP($A176,'Pre-Assessment Estimator'!$A$10:$Z$225,H$2,FALSE)</f>
        <v>0</v>
      </c>
      <c r="I176" s="576" t="str">
        <f>VLOOKUP($A176,'Pre-Assessment Estimator'!$A$10:$Z$225,I$2,FALSE)</f>
        <v>N/A</v>
      </c>
      <c r="J176" s="577" t="str">
        <f>IF(VLOOKUP($A176,'Pre-Assessment Estimator'!$A$10:$Z$225,J$2,FALSE)=0,"",VLOOKUP($A176,'Pre-Assessment Estimator'!$A$10:$Z$225,J$2,FALSE))</f>
        <v/>
      </c>
      <c r="K176" s="577" t="str">
        <f>IF(VLOOKUP($A176,'Pre-Assessment Estimator'!$A$10:$Z$225,K$2,FALSE)=0,"",VLOOKUP($A176,'Pre-Assessment Estimator'!$A$10:$Z$225,K$2,FALSE))</f>
        <v/>
      </c>
      <c r="L176" s="578" t="str">
        <f>IF(VLOOKUP($A176,'Pre-Assessment Estimator'!$A$10:$Z$225,L$2,FALSE)=0,"",VLOOKUP($A176,'Pre-Assessment Estimator'!$A$10:$Z$225,L$2,FALSE))</f>
        <v/>
      </c>
      <c r="M176" s="579"/>
      <c r="N176" s="580" t="str">
        <f>IF(VLOOKUP($A176,'Pre-Assessment Estimator'!$A$10:$Z$225,N$2,FALSE)=0,"",VLOOKUP($A176,'Pre-Assessment Estimator'!$A$10:$Z$225,N$2,FALSE))</f>
        <v/>
      </c>
      <c r="O176" s="575">
        <f>VLOOKUP($A176,'Pre-Assessment Estimator'!$A$10:$Z$225,O$2,FALSE)</f>
        <v>0</v>
      </c>
      <c r="P176" s="574" t="str">
        <f>VLOOKUP($A176,'Pre-Assessment Estimator'!$A$10:$Z$225,P$2,FALSE)</f>
        <v>N/A</v>
      </c>
      <c r="Q176" s="577" t="str">
        <f>IF(VLOOKUP($A176,'Pre-Assessment Estimator'!$A$10:$Z$225,Q$2,FALSE)=0,"",VLOOKUP($A176,'Pre-Assessment Estimator'!$A$10:$Z$225,Q$2,FALSE))</f>
        <v/>
      </c>
      <c r="R176" s="577" t="str">
        <f>IF(VLOOKUP($A176,'Pre-Assessment Estimator'!$A$10:$Z$225,R$2,FALSE)=0,"",VLOOKUP($A176,'Pre-Assessment Estimator'!$A$10:$Z$225,R$2,FALSE))</f>
        <v/>
      </c>
      <c r="S176" s="578" t="str">
        <f>IF(VLOOKUP($A176,'Pre-Assessment Estimator'!$A$10:$Z$225,S$2,FALSE)=0,"",VLOOKUP($A176,'Pre-Assessment Estimator'!$A$10:$Z$225,S$2,FALSE))</f>
        <v/>
      </c>
      <c r="T176" s="581"/>
      <c r="U176" s="580" t="str">
        <f>IF(VLOOKUP($A176,'Pre-Assessment Estimator'!$A$10:$Z$225,U$2,FALSE)=0,"",VLOOKUP($A176,'Pre-Assessment Estimator'!$A$10:$Z$225,U$2,FALSE))</f>
        <v/>
      </c>
      <c r="V176" s="575">
        <f>VLOOKUP($A176,'Pre-Assessment Estimator'!$A$10:$Z$225,V$2,FALSE)</f>
        <v>0</v>
      </c>
      <c r="W176" s="574" t="str">
        <f>VLOOKUP($A176,'Pre-Assessment Estimator'!$A$10:$Z$225,W$2,FALSE)</f>
        <v>N/A</v>
      </c>
      <c r="X176" s="577" t="str">
        <f>IF(VLOOKUP($A176,'Pre-Assessment Estimator'!$A$10:$Z$225,X$2,FALSE)=0,"",VLOOKUP($A176,'Pre-Assessment Estimator'!$A$10:$Z$225,X$2,FALSE))</f>
        <v/>
      </c>
      <c r="Y176" s="577" t="str">
        <f>IF(VLOOKUP($A176,'Pre-Assessment Estimator'!$A$10:$Z$225,Y$2,FALSE)=0,"",VLOOKUP($A176,'Pre-Assessment Estimator'!$A$10:$Z$225,Y$2,FALSE))</f>
        <v/>
      </c>
      <c r="Z176" s="370" t="str">
        <f>IF(VLOOKUP($A176,'Pre-Assessment Estimator'!$A$10:$Z$225,Z$2,FALSE)=0,"",VLOOKUP($A176,'Pre-Assessment Estimator'!$A$10:$Z$225,Z$2,FALSE))</f>
        <v/>
      </c>
      <c r="AA176" s="696">
        <v>166</v>
      </c>
      <c r="AB176" s="577" t="str">
        <f>IF(VLOOKUP($A176,'Pre-Assessment Estimator'!$A$10:$AB$225,AB$2,FALSE)=0,"",VLOOKUP($A176,'Pre-Assessment Estimator'!$A$10:$AB$225,AB$2,FALSE))</f>
        <v/>
      </c>
      <c r="AF176" s="386">
        <f t="shared" si="3"/>
        <v>1</v>
      </c>
    </row>
    <row r="177" spans="1:32" x14ac:dyDescent="0.25">
      <c r="A177" s="823">
        <v>168</v>
      </c>
      <c r="B177" s="1236" t="s">
        <v>71</v>
      </c>
      <c r="C177" s="1236"/>
      <c r="D177" s="1258" t="str">
        <f>VLOOKUP($A177,'Pre-Assessment Estimator'!$A$10:$Z$225,D$2,FALSE)</f>
        <v>LE 05</v>
      </c>
      <c r="E177" s="1258" t="str">
        <f>VLOOKUP($A177,'Pre-Assessment Estimator'!$A$10:$Z$225,E$2,FALSE)</f>
        <v>LE 05 Long term ecology management and maintenance</v>
      </c>
      <c r="F177" s="574">
        <f>VLOOKUP($A177,'Pre-Assessment Estimator'!$A$10:$Z$225,F$2,FALSE)</f>
        <v>2</v>
      </c>
      <c r="G177" s="580" t="str">
        <f>IF(VLOOKUP($A177,'Pre-Assessment Estimator'!$A$10:$Z$225,G$2,FALSE)=0,"",VLOOKUP($A177,'Pre-Assessment Estimator'!$A$10:$Z$225,G$2,FALSE))</f>
        <v/>
      </c>
      <c r="H177" s="1222" t="str">
        <f>VLOOKUP($A177,'Pre-Assessment Estimator'!$A$10:$Z$225,H$2,FALSE)</f>
        <v>0 c. 0 %</v>
      </c>
      <c r="I177" s="576" t="str">
        <f>VLOOKUP($A177,'Pre-Assessment Estimator'!$A$10:$Z$225,I$2,FALSE)</f>
        <v>N/A</v>
      </c>
      <c r="J177" s="577" t="str">
        <f>IF(VLOOKUP($A177,'Pre-Assessment Estimator'!$A$10:$Z$225,J$2,FALSE)=0,"",VLOOKUP($A177,'Pre-Assessment Estimator'!$A$10:$Z$225,J$2,FALSE))</f>
        <v/>
      </c>
      <c r="K177" s="577" t="str">
        <f>IF(VLOOKUP($A177,'Pre-Assessment Estimator'!$A$10:$Z$225,K$2,FALSE)=0,"",VLOOKUP($A177,'Pre-Assessment Estimator'!$A$10:$Z$225,K$2,FALSE))</f>
        <v/>
      </c>
      <c r="L177" s="578" t="str">
        <f>IF(VLOOKUP($A177,'Pre-Assessment Estimator'!$A$10:$Z$225,L$2,FALSE)=0,"",VLOOKUP($A177,'Pre-Assessment Estimator'!$A$10:$Z$225,L$2,FALSE))</f>
        <v/>
      </c>
      <c r="M177" s="579"/>
      <c r="N177" s="580" t="str">
        <f>IF(VLOOKUP($A177,'Pre-Assessment Estimator'!$A$10:$Z$225,N$2,FALSE)=0,"",VLOOKUP($A177,'Pre-Assessment Estimator'!$A$10:$Z$225,N$2,FALSE))</f>
        <v/>
      </c>
      <c r="O177" s="575" t="str">
        <f>VLOOKUP($A177,'Pre-Assessment Estimator'!$A$10:$Z$225,O$2,FALSE)</f>
        <v>0 c. 0 %</v>
      </c>
      <c r="P177" s="574" t="str">
        <f>VLOOKUP($A177,'Pre-Assessment Estimator'!$A$10:$Z$225,P$2,FALSE)</f>
        <v>N/A</v>
      </c>
      <c r="Q177" s="577" t="str">
        <f>IF(VLOOKUP($A177,'Pre-Assessment Estimator'!$A$10:$Z$225,Q$2,FALSE)=0,"",VLOOKUP($A177,'Pre-Assessment Estimator'!$A$10:$Z$225,Q$2,FALSE))</f>
        <v/>
      </c>
      <c r="R177" s="577" t="str">
        <f>IF(VLOOKUP($A177,'Pre-Assessment Estimator'!$A$10:$Z$225,R$2,FALSE)=0,"",VLOOKUP($A177,'Pre-Assessment Estimator'!$A$10:$Z$225,R$2,FALSE))</f>
        <v/>
      </c>
      <c r="S177" s="578" t="str">
        <f>IF(VLOOKUP($A177,'Pre-Assessment Estimator'!$A$10:$Z$225,S$2,FALSE)=0,"",VLOOKUP($A177,'Pre-Assessment Estimator'!$A$10:$Z$225,S$2,FALSE))</f>
        <v/>
      </c>
      <c r="T177" s="581"/>
      <c r="U177" s="580" t="str">
        <f>IF(VLOOKUP($A177,'Pre-Assessment Estimator'!$A$10:$Z$225,U$2,FALSE)=0,"",VLOOKUP($A177,'Pre-Assessment Estimator'!$A$10:$Z$225,U$2,FALSE))</f>
        <v/>
      </c>
      <c r="V177" s="575" t="str">
        <f>VLOOKUP($A177,'Pre-Assessment Estimator'!$A$10:$Z$225,V$2,FALSE)</f>
        <v>0 c. 0 %</v>
      </c>
      <c r="W177" s="574" t="str">
        <f>VLOOKUP($A177,'Pre-Assessment Estimator'!$A$10:$Z$225,W$2,FALSE)</f>
        <v>N/A</v>
      </c>
      <c r="X177" s="577" t="str">
        <f>IF(VLOOKUP($A177,'Pre-Assessment Estimator'!$A$10:$Z$225,X$2,FALSE)=0,"",VLOOKUP($A177,'Pre-Assessment Estimator'!$A$10:$Z$225,X$2,FALSE))</f>
        <v/>
      </c>
      <c r="Y177" s="577" t="str">
        <f>IF(VLOOKUP($A177,'Pre-Assessment Estimator'!$A$10:$Z$225,Y$2,FALSE)=0,"",VLOOKUP($A177,'Pre-Assessment Estimator'!$A$10:$Z$225,Y$2,FALSE))</f>
        <v/>
      </c>
      <c r="Z177" s="370" t="str">
        <f>IF(VLOOKUP($A177,'Pre-Assessment Estimator'!$A$10:$Z$225,Z$2,FALSE)=0,"",VLOOKUP($A177,'Pre-Assessment Estimator'!$A$10:$Z$225,Z$2,FALSE))</f>
        <v/>
      </c>
      <c r="AA177" s="696">
        <v>167</v>
      </c>
      <c r="AB177" s="577" t="str">
        <f>IF(VLOOKUP($A177,'Pre-Assessment Estimator'!$A$10:$AB$225,AB$2,FALSE)=0,"",VLOOKUP($A177,'Pre-Assessment Estimator'!$A$10:$AB$225,AB$2,FALSE))</f>
        <v/>
      </c>
      <c r="AF177" s="386">
        <f t="shared" si="3"/>
        <v>1</v>
      </c>
    </row>
    <row r="178" spans="1:32" x14ac:dyDescent="0.25">
      <c r="A178" s="823">
        <v>169</v>
      </c>
      <c r="B178" s="1236" t="s">
        <v>71</v>
      </c>
      <c r="C178" s="1236"/>
      <c r="D178" s="1259" t="str">
        <f>VLOOKUP($A178,'Pre-Assessment Estimator'!$A$10:$Z$225,D$2,FALSE)</f>
        <v>LE 05</v>
      </c>
      <c r="E178" s="1260" t="str">
        <f>VLOOKUP($A178,'Pre-Assessment Estimator'!$A$10:$Z$225,E$2,FALSE)</f>
        <v>Pre-requisite: statutory obligations, planning and site implementation</v>
      </c>
      <c r="F178" s="574" t="str">
        <f>VLOOKUP($A178,'Pre-Assessment Estimator'!$A$10:$Z$225,F$2,FALSE)</f>
        <v>Yes/No</v>
      </c>
      <c r="G178" s="580" t="str">
        <f>IF(VLOOKUP($A178,'Pre-Assessment Estimator'!$A$10:$Z$225,G$2,FALSE)=0,"",VLOOKUP($A178,'Pre-Assessment Estimator'!$A$10:$Z$225,G$2,FALSE))</f>
        <v/>
      </c>
      <c r="H178" s="1222" t="str">
        <f>VLOOKUP($A178,'Pre-Assessment Estimator'!$A$10:$Z$225,H$2,FALSE)</f>
        <v>-</v>
      </c>
      <c r="I178" s="576" t="str">
        <f>VLOOKUP($A178,'Pre-Assessment Estimator'!$A$10:$Z$225,I$2,FALSE)</f>
        <v>N/A</v>
      </c>
      <c r="J178" s="577" t="str">
        <f>IF(VLOOKUP($A178,'Pre-Assessment Estimator'!$A$10:$Z$225,J$2,FALSE)=0,"",VLOOKUP($A178,'Pre-Assessment Estimator'!$A$10:$Z$225,J$2,FALSE))</f>
        <v/>
      </c>
      <c r="K178" s="577" t="str">
        <f>IF(VLOOKUP($A178,'Pre-Assessment Estimator'!$A$10:$Z$225,K$2,FALSE)=0,"",VLOOKUP($A178,'Pre-Assessment Estimator'!$A$10:$Z$225,K$2,FALSE))</f>
        <v/>
      </c>
      <c r="L178" s="578" t="str">
        <f>IF(VLOOKUP($A178,'Pre-Assessment Estimator'!$A$10:$Z$225,L$2,FALSE)=0,"",VLOOKUP($A178,'Pre-Assessment Estimator'!$A$10:$Z$225,L$2,FALSE))</f>
        <v/>
      </c>
      <c r="M178" s="579"/>
      <c r="N178" s="580" t="str">
        <f>IF(VLOOKUP($A178,'Pre-Assessment Estimator'!$A$10:$Z$225,N$2,FALSE)=0,"",VLOOKUP($A178,'Pre-Assessment Estimator'!$A$10:$Z$225,N$2,FALSE))</f>
        <v/>
      </c>
      <c r="O178" s="575" t="str">
        <f>VLOOKUP($A178,'Pre-Assessment Estimator'!$A$10:$Z$225,O$2,FALSE)</f>
        <v>-</v>
      </c>
      <c r="P178" s="574" t="str">
        <f>VLOOKUP($A178,'Pre-Assessment Estimator'!$A$10:$Z$225,P$2,FALSE)</f>
        <v>N/A</v>
      </c>
      <c r="Q178" s="577" t="str">
        <f>IF(VLOOKUP($A178,'Pre-Assessment Estimator'!$A$10:$Z$225,Q$2,FALSE)=0,"",VLOOKUP($A178,'Pre-Assessment Estimator'!$A$10:$Z$225,Q$2,FALSE))</f>
        <v/>
      </c>
      <c r="R178" s="577" t="str">
        <f>IF(VLOOKUP($A178,'Pre-Assessment Estimator'!$A$10:$Z$225,R$2,FALSE)=0,"",VLOOKUP($A178,'Pre-Assessment Estimator'!$A$10:$Z$225,R$2,FALSE))</f>
        <v/>
      </c>
      <c r="S178" s="578" t="str">
        <f>IF(VLOOKUP($A178,'Pre-Assessment Estimator'!$A$10:$Z$225,S$2,FALSE)=0,"",VLOOKUP($A178,'Pre-Assessment Estimator'!$A$10:$Z$225,S$2,FALSE))</f>
        <v/>
      </c>
      <c r="T178" s="581"/>
      <c r="U178" s="580" t="str">
        <f>IF(VLOOKUP($A178,'Pre-Assessment Estimator'!$A$10:$Z$225,U$2,FALSE)=0,"",VLOOKUP($A178,'Pre-Assessment Estimator'!$A$10:$Z$225,U$2,FALSE))</f>
        <v/>
      </c>
      <c r="V178" s="575" t="str">
        <f>VLOOKUP($A178,'Pre-Assessment Estimator'!$A$10:$Z$225,V$2,FALSE)</f>
        <v>-</v>
      </c>
      <c r="W178" s="574" t="str">
        <f>VLOOKUP($A178,'Pre-Assessment Estimator'!$A$10:$Z$225,W$2,FALSE)</f>
        <v>N/A</v>
      </c>
      <c r="X178" s="577" t="str">
        <f>IF(VLOOKUP($A178,'Pre-Assessment Estimator'!$A$10:$Z$225,X$2,FALSE)=0,"",VLOOKUP($A178,'Pre-Assessment Estimator'!$A$10:$Z$225,X$2,FALSE))</f>
        <v/>
      </c>
      <c r="Y178" s="577" t="str">
        <f>IF(VLOOKUP($A178,'Pre-Assessment Estimator'!$A$10:$Z$225,Y$2,FALSE)=0,"",VLOOKUP($A178,'Pre-Assessment Estimator'!$A$10:$Z$225,Y$2,FALSE))</f>
        <v/>
      </c>
      <c r="Z178" s="370" t="str">
        <f>IF(VLOOKUP($A178,'Pre-Assessment Estimator'!$A$10:$Z$225,Z$2,FALSE)=0,"",VLOOKUP($A178,'Pre-Assessment Estimator'!$A$10:$Z$225,Z$2,FALSE))</f>
        <v/>
      </c>
      <c r="AA178" s="696">
        <v>168</v>
      </c>
      <c r="AB178" s="577" t="str">
        <f>IF(VLOOKUP($A178,'Pre-Assessment Estimator'!$A$10:$AB$225,AB$2,FALSE)=0,"",VLOOKUP($A178,'Pre-Assessment Estimator'!$A$10:$AB$225,AB$2,FALSE))</f>
        <v/>
      </c>
      <c r="AF178" s="386">
        <f t="shared" si="3"/>
        <v>1</v>
      </c>
    </row>
    <row r="179" spans="1:32" x14ac:dyDescent="0.25">
      <c r="A179" s="823">
        <v>170</v>
      </c>
      <c r="B179" s="1236" t="s">
        <v>71</v>
      </c>
      <c r="C179" s="1236"/>
      <c r="D179" s="1259" t="str">
        <f>VLOOKUP($A179,'Pre-Assessment Estimator'!$A$10:$Z$225,D$2,FALSE)</f>
        <v>LE 05</v>
      </c>
      <c r="E179" s="1260" t="str">
        <f>VLOOKUP($A179,'Pre-Assessment Estimator'!$A$10:$Z$225,E$2,FALSE)</f>
        <v>Management and maintenance throughout the project</v>
      </c>
      <c r="F179" s="574">
        <f>VLOOKUP($A179,'Pre-Assessment Estimator'!$A$10:$Z$225,F$2,FALSE)</f>
        <v>1</v>
      </c>
      <c r="G179" s="580" t="str">
        <f>IF(VLOOKUP($A179,'Pre-Assessment Estimator'!$A$10:$Z$225,G$2,FALSE)=0,"",VLOOKUP($A179,'Pre-Assessment Estimator'!$A$10:$Z$225,G$2,FALSE))</f>
        <v/>
      </c>
      <c r="H179" s="1222">
        <f>VLOOKUP($A179,'Pre-Assessment Estimator'!$A$10:$Z$225,H$2,FALSE)</f>
        <v>0</v>
      </c>
      <c r="I179" s="576" t="str">
        <f>VLOOKUP($A179,'Pre-Assessment Estimator'!$A$10:$Z$225,I$2,FALSE)</f>
        <v>N/A</v>
      </c>
      <c r="J179" s="577" t="str">
        <f>IF(VLOOKUP($A179,'Pre-Assessment Estimator'!$A$10:$Z$225,J$2,FALSE)=0,"",VLOOKUP($A179,'Pre-Assessment Estimator'!$A$10:$Z$225,J$2,FALSE))</f>
        <v/>
      </c>
      <c r="K179" s="577" t="str">
        <f>IF(VLOOKUP($A179,'Pre-Assessment Estimator'!$A$10:$Z$225,K$2,FALSE)=0,"",VLOOKUP($A179,'Pre-Assessment Estimator'!$A$10:$Z$225,K$2,FALSE))</f>
        <v/>
      </c>
      <c r="L179" s="578" t="str">
        <f>IF(VLOOKUP($A179,'Pre-Assessment Estimator'!$A$10:$Z$225,L$2,FALSE)=0,"",VLOOKUP($A179,'Pre-Assessment Estimator'!$A$10:$Z$225,L$2,FALSE))</f>
        <v/>
      </c>
      <c r="M179" s="579"/>
      <c r="N179" s="580" t="str">
        <f>IF(VLOOKUP($A179,'Pre-Assessment Estimator'!$A$10:$Z$225,N$2,FALSE)=0,"",VLOOKUP($A179,'Pre-Assessment Estimator'!$A$10:$Z$225,N$2,FALSE))</f>
        <v/>
      </c>
      <c r="O179" s="575">
        <f>VLOOKUP($A179,'Pre-Assessment Estimator'!$A$10:$Z$225,O$2,FALSE)</f>
        <v>0</v>
      </c>
      <c r="P179" s="574" t="str">
        <f>VLOOKUP($A179,'Pre-Assessment Estimator'!$A$10:$Z$225,P$2,FALSE)</f>
        <v>N/A</v>
      </c>
      <c r="Q179" s="577" t="str">
        <f>IF(VLOOKUP($A179,'Pre-Assessment Estimator'!$A$10:$Z$225,Q$2,FALSE)=0,"",VLOOKUP($A179,'Pre-Assessment Estimator'!$A$10:$Z$225,Q$2,FALSE))</f>
        <v/>
      </c>
      <c r="R179" s="577" t="str">
        <f>IF(VLOOKUP($A179,'Pre-Assessment Estimator'!$A$10:$Z$225,R$2,FALSE)=0,"",VLOOKUP($A179,'Pre-Assessment Estimator'!$A$10:$Z$225,R$2,FALSE))</f>
        <v/>
      </c>
      <c r="S179" s="578" t="str">
        <f>IF(VLOOKUP($A179,'Pre-Assessment Estimator'!$A$10:$Z$225,S$2,FALSE)=0,"",VLOOKUP($A179,'Pre-Assessment Estimator'!$A$10:$Z$225,S$2,FALSE))</f>
        <v/>
      </c>
      <c r="T179" s="581"/>
      <c r="U179" s="580" t="str">
        <f>IF(VLOOKUP($A179,'Pre-Assessment Estimator'!$A$10:$Z$225,U$2,FALSE)=0,"",VLOOKUP($A179,'Pre-Assessment Estimator'!$A$10:$Z$225,U$2,FALSE))</f>
        <v/>
      </c>
      <c r="V179" s="575">
        <f>VLOOKUP($A179,'Pre-Assessment Estimator'!$A$10:$Z$225,V$2,FALSE)</f>
        <v>0</v>
      </c>
      <c r="W179" s="574" t="str">
        <f>VLOOKUP($A179,'Pre-Assessment Estimator'!$A$10:$Z$225,W$2,FALSE)</f>
        <v>N/A</v>
      </c>
      <c r="X179" s="577" t="str">
        <f>IF(VLOOKUP($A179,'Pre-Assessment Estimator'!$A$10:$Z$225,X$2,FALSE)=0,"",VLOOKUP($A179,'Pre-Assessment Estimator'!$A$10:$Z$225,X$2,FALSE))</f>
        <v/>
      </c>
      <c r="Y179" s="577" t="str">
        <f>IF(VLOOKUP($A179,'Pre-Assessment Estimator'!$A$10:$Z$225,Y$2,FALSE)=0,"",VLOOKUP($A179,'Pre-Assessment Estimator'!$A$10:$Z$225,Y$2,FALSE))</f>
        <v/>
      </c>
      <c r="Z179" s="370" t="str">
        <f>IF(VLOOKUP($A179,'Pre-Assessment Estimator'!$A$10:$Z$225,Z$2,FALSE)=0,"",VLOOKUP($A179,'Pre-Assessment Estimator'!$A$10:$Z$225,Z$2,FALSE))</f>
        <v/>
      </c>
      <c r="AA179" s="696">
        <v>169</v>
      </c>
      <c r="AB179" s="577"/>
      <c r="AF179" s="386">
        <f t="shared" si="3"/>
        <v>1</v>
      </c>
    </row>
    <row r="180" spans="1:32" x14ac:dyDescent="0.25">
      <c r="A180" s="823">
        <v>171</v>
      </c>
      <c r="B180" s="1236" t="s">
        <v>71</v>
      </c>
      <c r="C180" s="1236"/>
      <c r="D180" s="1259" t="str">
        <f>VLOOKUP($A180,'Pre-Assessment Estimator'!$A$10:$Z$225,D$2,FALSE)</f>
        <v>LE 05</v>
      </c>
      <c r="E180" s="1260" t="str">
        <f>VLOOKUP($A180,'Pre-Assessment Estimator'!$A$10:$Z$225,E$2,FALSE)</f>
        <v>Landscape and ecology management plan</v>
      </c>
      <c r="F180" s="574">
        <f>VLOOKUP($A180,'Pre-Assessment Estimator'!$A$10:$Z$225,F$2,FALSE)</f>
        <v>1</v>
      </c>
      <c r="G180" s="580" t="str">
        <f>IF(VLOOKUP($A180,'Pre-Assessment Estimator'!$A$10:$Z$225,G$2,FALSE)=0,"",VLOOKUP($A180,'Pre-Assessment Estimator'!$A$10:$Z$225,G$2,FALSE))</f>
        <v/>
      </c>
      <c r="H180" s="1222">
        <f>VLOOKUP($A180,'Pre-Assessment Estimator'!$A$10:$Z$225,H$2,FALSE)</f>
        <v>0</v>
      </c>
      <c r="I180" s="576" t="str">
        <f>VLOOKUP($A180,'Pre-Assessment Estimator'!$A$10:$Z$225,I$2,FALSE)</f>
        <v>N/A</v>
      </c>
      <c r="J180" s="577" t="str">
        <f>IF(VLOOKUP($A180,'Pre-Assessment Estimator'!$A$10:$Z$225,J$2,FALSE)=0,"",VLOOKUP($A180,'Pre-Assessment Estimator'!$A$10:$Z$225,J$2,FALSE))</f>
        <v/>
      </c>
      <c r="K180" s="577" t="str">
        <f>IF(VLOOKUP($A180,'Pre-Assessment Estimator'!$A$10:$Z$225,K$2,FALSE)=0,"",VLOOKUP($A180,'Pre-Assessment Estimator'!$A$10:$Z$225,K$2,FALSE))</f>
        <v/>
      </c>
      <c r="L180" s="578" t="str">
        <f>IF(VLOOKUP($A180,'Pre-Assessment Estimator'!$A$10:$Z$225,L$2,FALSE)=0,"",VLOOKUP($A180,'Pre-Assessment Estimator'!$A$10:$Z$225,L$2,FALSE))</f>
        <v/>
      </c>
      <c r="M180" s="579"/>
      <c r="N180" s="580" t="str">
        <f>IF(VLOOKUP($A180,'Pre-Assessment Estimator'!$A$10:$Z$225,N$2,FALSE)=0,"",VLOOKUP($A180,'Pre-Assessment Estimator'!$A$10:$Z$225,N$2,FALSE))</f>
        <v/>
      </c>
      <c r="O180" s="575">
        <f>VLOOKUP($A180,'Pre-Assessment Estimator'!$A$10:$Z$225,O$2,FALSE)</f>
        <v>0</v>
      </c>
      <c r="P180" s="574" t="str">
        <f>VLOOKUP($A180,'Pre-Assessment Estimator'!$A$10:$Z$225,P$2,FALSE)</f>
        <v>N/A</v>
      </c>
      <c r="Q180" s="577" t="str">
        <f>IF(VLOOKUP($A180,'Pre-Assessment Estimator'!$A$10:$Z$225,Q$2,FALSE)=0,"",VLOOKUP($A180,'Pre-Assessment Estimator'!$A$10:$Z$225,Q$2,FALSE))</f>
        <v/>
      </c>
      <c r="R180" s="577" t="str">
        <f>IF(VLOOKUP($A180,'Pre-Assessment Estimator'!$A$10:$Z$225,R$2,FALSE)=0,"",VLOOKUP($A180,'Pre-Assessment Estimator'!$A$10:$Z$225,R$2,FALSE))</f>
        <v/>
      </c>
      <c r="S180" s="578" t="str">
        <f>IF(VLOOKUP($A180,'Pre-Assessment Estimator'!$A$10:$Z$225,S$2,FALSE)=0,"",VLOOKUP($A180,'Pre-Assessment Estimator'!$A$10:$Z$225,S$2,FALSE))</f>
        <v/>
      </c>
      <c r="T180" s="581"/>
      <c r="U180" s="580" t="str">
        <f>IF(VLOOKUP($A180,'Pre-Assessment Estimator'!$A$10:$Z$225,U$2,FALSE)=0,"",VLOOKUP($A180,'Pre-Assessment Estimator'!$A$10:$Z$225,U$2,FALSE))</f>
        <v/>
      </c>
      <c r="V180" s="575">
        <f>VLOOKUP($A180,'Pre-Assessment Estimator'!$A$10:$Z$225,V$2,FALSE)</f>
        <v>0</v>
      </c>
      <c r="W180" s="574" t="str">
        <f>VLOOKUP($A180,'Pre-Assessment Estimator'!$A$10:$Z$225,W$2,FALSE)</f>
        <v>N/A</v>
      </c>
      <c r="X180" s="577" t="str">
        <f>IF(VLOOKUP($A180,'Pre-Assessment Estimator'!$A$10:$Z$225,X$2,FALSE)=0,"",VLOOKUP($A180,'Pre-Assessment Estimator'!$A$10:$Z$225,X$2,FALSE))</f>
        <v/>
      </c>
      <c r="Y180" s="577" t="str">
        <f>IF(VLOOKUP($A180,'Pre-Assessment Estimator'!$A$10:$Z$225,Y$2,FALSE)=0,"",VLOOKUP($A180,'Pre-Assessment Estimator'!$A$10:$Z$225,Y$2,FALSE))</f>
        <v/>
      </c>
      <c r="Z180" s="370" t="str">
        <f>IF(VLOOKUP($A180,'Pre-Assessment Estimator'!$A$10:$Z$225,Z$2,FALSE)=0,"",VLOOKUP($A180,'Pre-Assessment Estimator'!$A$10:$Z$225,Z$2,FALSE))</f>
        <v/>
      </c>
      <c r="AA180" s="696">
        <v>170</v>
      </c>
      <c r="AB180" s="577"/>
      <c r="AF180" s="386">
        <f t="shared" si="3"/>
        <v>1</v>
      </c>
    </row>
    <row r="181" spans="1:32" x14ac:dyDescent="0.25">
      <c r="A181" s="823">
        <v>172</v>
      </c>
      <c r="B181" s="1236" t="s">
        <v>71</v>
      </c>
      <c r="C181" s="1236"/>
      <c r="D181" s="1258" t="str">
        <f>VLOOKUP($A181,'Pre-Assessment Estimator'!$A$10:$Z$225,D$2,FALSE)</f>
        <v>LE 06</v>
      </c>
      <c r="E181" s="1258" t="str">
        <f>VLOOKUP($A181,'Pre-Assessment Estimator'!$A$10:$Z$225,E$2,FALSE)</f>
        <v>LE 06 Climate adaption</v>
      </c>
      <c r="F181" s="574">
        <f>VLOOKUP($A181,'Pre-Assessment Estimator'!$A$10:$Z$225,F$2,FALSE)</f>
        <v>1</v>
      </c>
      <c r="G181" s="580" t="str">
        <f>IF(VLOOKUP($A181,'Pre-Assessment Estimator'!$A$10:$Z$225,G$2,FALSE)=0,"",VLOOKUP($A181,'Pre-Assessment Estimator'!$A$10:$Z$225,G$2,FALSE))</f>
        <v/>
      </c>
      <c r="H181" s="1222" t="str">
        <f>VLOOKUP($A181,'Pre-Assessment Estimator'!$A$10:$Z$225,H$2,FALSE)</f>
        <v>0 c. 0 %</v>
      </c>
      <c r="I181" s="576" t="str">
        <f>VLOOKUP($A181,'Pre-Assessment Estimator'!$A$10:$Z$225,I$2,FALSE)</f>
        <v>N/A</v>
      </c>
      <c r="J181" s="577" t="str">
        <f>IF(VLOOKUP($A181,'Pre-Assessment Estimator'!$A$10:$Z$225,J$2,FALSE)=0,"",VLOOKUP($A181,'Pre-Assessment Estimator'!$A$10:$Z$225,J$2,FALSE))</f>
        <v/>
      </c>
      <c r="K181" s="577" t="str">
        <f>IF(VLOOKUP($A181,'Pre-Assessment Estimator'!$A$10:$Z$225,K$2,FALSE)=0,"",VLOOKUP($A181,'Pre-Assessment Estimator'!$A$10:$Z$225,K$2,FALSE))</f>
        <v/>
      </c>
      <c r="L181" s="578" t="str">
        <f>IF(VLOOKUP($A181,'Pre-Assessment Estimator'!$A$10:$Z$225,L$2,FALSE)=0,"",VLOOKUP($A181,'Pre-Assessment Estimator'!$A$10:$Z$225,L$2,FALSE))</f>
        <v/>
      </c>
      <c r="M181" s="579"/>
      <c r="N181" s="580" t="str">
        <f>IF(VLOOKUP($A181,'Pre-Assessment Estimator'!$A$10:$Z$225,N$2,FALSE)=0,"",VLOOKUP($A181,'Pre-Assessment Estimator'!$A$10:$Z$225,N$2,FALSE))</f>
        <v/>
      </c>
      <c r="O181" s="575" t="str">
        <f>VLOOKUP($A181,'Pre-Assessment Estimator'!$A$10:$Z$225,O$2,FALSE)</f>
        <v>0 c. 0 %</v>
      </c>
      <c r="P181" s="574" t="str">
        <f>VLOOKUP($A181,'Pre-Assessment Estimator'!$A$10:$Z$225,P$2,FALSE)</f>
        <v>N/A</v>
      </c>
      <c r="Q181" s="577" t="str">
        <f>IF(VLOOKUP($A181,'Pre-Assessment Estimator'!$A$10:$Z$225,Q$2,FALSE)=0,"",VLOOKUP($A181,'Pre-Assessment Estimator'!$A$10:$Z$225,Q$2,FALSE))</f>
        <v/>
      </c>
      <c r="R181" s="577" t="str">
        <f>IF(VLOOKUP($A181,'Pre-Assessment Estimator'!$A$10:$Z$225,R$2,FALSE)=0,"",VLOOKUP($A181,'Pre-Assessment Estimator'!$A$10:$Z$225,R$2,FALSE))</f>
        <v/>
      </c>
      <c r="S181" s="578" t="str">
        <f>IF(VLOOKUP($A181,'Pre-Assessment Estimator'!$A$10:$Z$225,S$2,FALSE)=0,"",VLOOKUP($A181,'Pre-Assessment Estimator'!$A$10:$Z$225,S$2,FALSE))</f>
        <v/>
      </c>
      <c r="T181" s="581"/>
      <c r="U181" s="580" t="str">
        <f>IF(VLOOKUP($A181,'Pre-Assessment Estimator'!$A$10:$Z$225,U$2,FALSE)=0,"",VLOOKUP($A181,'Pre-Assessment Estimator'!$A$10:$Z$225,U$2,FALSE))</f>
        <v/>
      </c>
      <c r="V181" s="575" t="str">
        <f>VLOOKUP($A181,'Pre-Assessment Estimator'!$A$10:$Z$225,V$2,FALSE)</f>
        <v>0 c. 0 %</v>
      </c>
      <c r="W181" s="574" t="str">
        <f>VLOOKUP($A181,'Pre-Assessment Estimator'!$A$10:$Z$225,W$2,FALSE)</f>
        <v>N/A</v>
      </c>
      <c r="X181" s="577" t="str">
        <f>IF(VLOOKUP($A181,'Pre-Assessment Estimator'!$A$10:$Z$225,X$2,FALSE)=0,"",VLOOKUP($A181,'Pre-Assessment Estimator'!$A$10:$Z$225,X$2,FALSE))</f>
        <v/>
      </c>
      <c r="Y181" s="577" t="str">
        <f>IF(VLOOKUP($A181,'Pre-Assessment Estimator'!$A$10:$Z$225,Y$2,FALSE)=0,"",VLOOKUP($A181,'Pre-Assessment Estimator'!$A$10:$Z$225,Y$2,FALSE))</f>
        <v/>
      </c>
      <c r="Z181" s="370" t="str">
        <f>IF(VLOOKUP($A181,'Pre-Assessment Estimator'!$A$10:$Z$225,Z$2,FALSE)=0,"",VLOOKUP($A181,'Pre-Assessment Estimator'!$A$10:$Z$225,Z$2,FALSE))</f>
        <v/>
      </c>
      <c r="AA181" s="696">
        <v>171</v>
      </c>
      <c r="AB181" s="577"/>
      <c r="AF181" s="386">
        <f t="shared" si="3"/>
        <v>1</v>
      </c>
    </row>
    <row r="182" spans="1:32" x14ac:dyDescent="0.25">
      <c r="A182" s="823">
        <v>173</v>
      </c>
      <c r="B182" s="1236" t="s">
        <v>71</v>
      </c>
      <c r="C182" s="1236"/>
      <c r="D182" s="1259" t="str">
        <f>VLOOKUP($A182,'Pre-Assessment Estimator'!$A$10:$Z$225,D$2,FALSE)</f>
        <v>LE 06</v>
      </c>
      <c r="E182" s="1260" t="str">
        <f>VLOOKUP($A182,'Pre-Assessment Estimator'!$A$10:$Z$225,E$2,FALSE)</f>
        <v>Risk assessment (EU taxonomy requirement: criterion 1-6)</v>
      </c>
      <c r="F182" s="574">
        <f>VLOOKUP($A182,'Pre-Assessment Estimator'!$A$10:$Z$225,F$2,FALSE)</f>
        <v>1</v>
      </c>
      <c r="G182" s="580" t="str">
        <f>IF(VLOOKUP($A182,'Pre-Assessment Estimator'!$A$10:$Z$225,G$2,FALSE)=0,"",VLOOKUP($A182,'Pre-Assessment Estimator'!$A$10:$Z$225,G$2,FALSE))</f>
        <v/>
      </c>
      <c r="H182" s="1222">
        <f>VLOOKUP($A182,'Pre-Assessment Estimator'!$A$10:$Z$225,H$2,FALSE)</f>
        <v>0</v>
      </c>
      <c r="I182" s="576" t="str">
        <f>VLOOKUP($A182,'Pre-Assessment Estimator'!$A$10:$Z$225,I$2,FALSE)</f>
        <v>Very Good</v>
      </c>
      <c r="J182" s="577" t="str">
        <f>IF(VLOOKUP($A182,'Pre-Assessment Estimator'!$A$10:$Z$225,J$2,FALSE)=0,"",VLOOKUP($A182,'Pre-Assessment Estimator'!$A$10:$Z$225,J$2,FALSE))</f>
        <v/>
      </c>
      <c r="K182" s="577" t="str">
        <f>IF(VLOOKUP($A182,'Pre-Assessment Estimator'!$A$10:$Z$225,K$2,FALSE)=0,"",VLOOKUP($A182,'Pre-Assessment Estimator'!$A$10:$Z$225,K$2,FALSE))</f>
        <v/>
      </c>
      <c r="L182" s="578" t="str">
        <f>IF(VLOOKUP($A182,'Pre-Assessment Estimator'!$A$10:$Z$225,L$2,FALSE)=0,"",VLOOKUP($A182,'Pre-Assessment Estimator'!$A$10:$Z$225,L$2,FALSE))</f>
        <v/>
      </c>
      <c r="M182" s="579"/>
      <c r="N182" s="580" t="str">
        <f>IF(VLOOKUP($A182,'Pre-Assessment Estimator'!$A$10:$Z$225,N$2,FALSE)=0,"",VLOOKUP($A182,'Pre-Assessment Estimator'!$A$10:$Z$225,N$2,FALSE))</f>
        <v/>
      </c>
      <c r="O182" s="575">
        <f>VLOOKUP($A182,'Pre-Assessment Estimator'!$A$10:$Z$225,O$2,FALSE)</f>
        <v>0</v>
      </c>
      <c r="P182" s="574" t="str">
        <f>VLOOKUP($A182,'Pre-Assessment Estimator'!$A$10:$Z$225,P$2,FALSE)</f>
        <v>Very Good</v>
      </c>
      <c r="Q182" s="577" t="str">
        <f>IF(VLOOKUP($A182,'Pre-Assessment Estimator'!$A$10:$Z$225,Q$2,FALSE)=0,"",VLOOKUP($A182,'Pre-Assessment Estimator'!$A$10:$Z$225,Q$2,FALSE))</f>
        <v/>
      </c>
      <c r="R182" s="577" t="str">
        <f>IF(VLOOKUP($A182,'Pre-Assessment Estimator'!$A$10:$Z$225,R$2,FALSE)=0,"",VLOOKUP($A182,'Pre-Assessment Estimator'!$A$10:$Z$225,R$2,FALSE))</f>
        <v/>
      </c>
      <c r="S182" s="578" t="str">
        <f>IF(VLOOKUP($A182,'Pre-Assessment Estimator'!$A$10:$Z$225,S$2,FALSE)=0,"",VLOOKUP($A182,'Pre-Assessment Estimator'!$A$10:$Z$225,S$2,FALSE))</f>
        <v/>
      </c>
      <c r="T182" s="581"/>
      <c r="U182" s="580" t="str">
        <f>IF(VLOOKUP($A182,'Pre-Assessment Estimator'!$A$10:$Z$225,U$2,FALSE)=0,"",VLOOKUP($A182,'Pre-Assessment Estimator'!$A$10:$Z$225,U$2,FALSE))</f>
        <v/>
      </c>
      <c r="V182" s="575">
        <f>VLOOKUP($A182,'Pre-Assessment Estimator'!$A$10:$Z$225,V$2,FALSE)</f>
        <v>0</v>
      </c>
      <c r="W182" s="574" t="str">
        <f>VLOOKUP($A182,'Pre-Assessment Estimator'!$A$10:$Z$225,W$2,FALSE)</f>
        <v>Very Good</v>
      </c>
      <c r="X182" s="577" t="str">
        <f>IF(VLOOKUP($A182,'Pre-Assessment Estimator'!$A$10:$Z$225,X$2,FALSE)=0,"",VLOOKUP($A182,'Pre-Assessment Estimator'!$A$10:$Z$225,X$2,FALSE))</f>
        <v/>
      </c>
      <c r="Y182" s="577" t="str">
        <f>IF(VLOOKUP($A182,'Pre-Assessment Estimator'!$A$10:$Z$225,Y$2,FALSE)=0,"",VLOOKUP($A182,'Pre-Assessment Estimator'!$A$10:$Z$225,Y$2,FALSE))</f>
        <v/>
      </c>
      <c r="Z182" s="370" t="str">
        <f>IF(VLOOKUP($A182,'Pre-Assessment Estimator'!$A$10:$Z$225,Z$2,FALSE)=0,"",VLOOKUP($A182,'Pre-Assessment Estimator'!$A$10:$Z$225,Z$2,FALSE))</f>
        <v/>
      </c>
      <c r="AA182" s="696">
        <v>172</v>
      </c>
      <c r="AB182" s="577"/>
      <c r="AF182" s="386">
        <f t="shared" si="3"/>
        <v>1</v>
      </c>
    </row>
    <row r="183" spans="1:32" x14ac:dyDescent="0.25">
      <c r="A183" s="823">
        <v>174</v>
      </c>
      <c r="B183" s="1236" t="s">
        <v>71</v>
      </c>
      <c r="C183" s="1236"/>
      <c r="D183" s="1258" t="str">
        <f>VLOOKUP($A183,'Pre-Assessment Estimator'!$A$10:$Z$225,D$2,FALSE)</f>
        <v>LE 07</v>
      </c>
      <c r="E183" s="1258" t="str">
        <f>VLOOKUP($A183,'Pre-Assessment Estimator'!$A$10:$Z$225,E$2,FALSE)</f>
        <v>LE 07 Flooding and storm surge</v>
      </c>
      <c r="F183" s="574">
        <f>VLOOKUP($A183,'Pre-Assessment Estimator'!$A$10:$Z$225,F$2,FALSE)</f>
        <v>2</v>
      </c>
      <c r="G183" s="580" t="str">
        <f>IF(VLOOKUP($A183,'Pre-Assessment Estimator'!$A$10:$Z$225,G$2,FALSE)=0,"",VLOOKUP($A183,'Pre-Assessment Estimator'!$A$10:$Z$225,G$2,FALSE))</f>
        <v/>
      </c>
      <c r="H183" s="1222" t="str">
        <f>VLOOKUP($A183,'Pre-Assessment Estimator'!$A$10:$Z$225,H$2,FALSE)</f>
        <v>0 c. 0 %</v>
      </c>
      <c r="I183" s="576" t="str">
        <f>VLOOKUP($A183,'Pre-Assessment Estimator'!$A$10:$Z$225,I$2,FALSE)</f>
        <v>N/A</v>
      </c>
      <c r="J183" s="577" t="str">
        <f>IF(VLOOKUP($A183,'Pre-Assessment Estimator'!$A$10:$Z$225,J$2,FALSE)=0,"",VLOOKUP($A183,'Pre-Assessment Estimator'!$A$10:$Z$225,J$2,FALSE))</f>
        <v/>
      </c>
      <c r="K183" s="577" t="str">
        <f>IF(VLOOKUP($A183,'Pre-Assessment Estimator'!$A$10:$Z$225,K$2,FALSE)=0,"",VLOOKUP($A183,'Pre-Assessment Estimator'!$A$10:$Z$225,K$2,FALSE))</f>
        <v/>
      </c>
      <c r="L183" s="578" t="str">
        <f>IF(VLOOKUP($A183,'Pre-Assessment Estimator'!$A$10:$Z$225,L$2,FALSE)=0,"",VLOOKUP($A183,'Pre-Assessment Estimator'!$A$10:$Z$225,L$2,FALSE))</f>
        <v/>
      </c>
      <c r="M183" s="579"/>
      <c r="N183" s="580" t="str">
        <f>IF(VLOOKUP($A183,'Pre-Assessment Estimator'!$A$10:$Z$225,N$2,FALSE)=0,"",VLOOKUP($A183,'Pre-Assessment Estimator'!$A$10:$Z$225,N$2,FALSE))</f>
        <v/>
      </c>
      <c r="O183" s="575" t="str">
        <f>VLOOKUP($A183,'Pre-Assessment Estimator'!$A$10:$Z$225,O$2,FALSE)</f>
        <v>0 c. 0 %</v>
      </c>
      <c r="P183" s="574" t="str">
        <f>VLOOKUP($A183,'Pre-Assessment Estimator'!$A$10:$Z$225,P$2,FALSE)</f>
        <v>N/A</v>
      </c>
      <c r="Q183" s="577" t="str">
        <f>IF(VLOOKUP($A183,'Pre-Assessment Estimator'!$A$10:$Z$225,Q$2,FALSE)=0,"",VLOOKUP($A183,'Pre-Assessment Estimator'!$A$10:$Z$225,Q$2,FALSE))</f>
        <v/>
      </c>
      <c r="R183" s="577" t="str">
        <f>IF(VLOOKUP($A183,'Pre-Assessment Estimator'!$A$10:$Z$225,R$2,FALSE)=0,"",VLOOKUP($A183,'Pre-Assessment Estimator'!$A$10:$Z$225,R$2,FALSE))</f>
        <v/>
      </c>
      <c r="S183" s="578" t="str">
        <f>IF(VLOOKUP($A183,'Pre-Assessment Estimator'!$A$10:$Z$225,S$2,FALSE)=0,"",VLOOKUP($A183,'Pre-Assessment Estimator'!$A$10:$Z$225,S$2,FALSE))</f>
        <v/>
      </c>
      <c r="T183" s="581"/>
      <c r="U183" s="580" t="str">
        <f>IF(VLOOKUP($A183,'Pre-Assessment Estimator'!$A$10:$Z$225,U$2,FALSE)=0,"",VLOOKUP($A183,'Pre-Assessment Estimator'!$A$10:$Z$225,U$2,FALSE))</f>
        <v/>
      </c>
      <c r="V183" s="575" t="str">
        <f>VLOOKUP($A183,'Pre-Assessment Estimator'!$A$10:$Z$225,V$2,FALSE)</f>
        <v>0 c. 0 %</v>
      </c>
      <c r="W183" s="574" t="str">
        <f>VLOOKUP($A183,'Pre-Assessment Estimator'!$A$10:$Z$225,W$2,FALSE)</f>
        <v>N/A</v>
      </c>
      <c r="X183" s="577" t="str">
        <f>IF(VLOOKUP($A183,'Pre-Assessment Estimator'!$A$10:$Z$225,X$2,FALSE)=0,"",VLOOKUP($A183,'Pre-Assessment Estimator'!$A$10:$Z$225,X$2,FALSE))</f>
        <v/>
      </c>
      <c r="Y183" s="577" t="str">
        <f>IF(VLOOKUP($A183,'Pre-Assessment Estimator'!$A$10:$Z$225,Y$2,FALSE)=0,"",VLOOKUP($A183,'Pre-Assessment Estimator'!$A$10:$Z$225,Y$2,FALSE))</f>
        <v/>
      </c>
      <c r="Z183" s="370" t="str">
        <f>IF(VLOOKUP($A183,'Pre-Assessment Estimator'!$A$10:$Z$225,Z$2,FALSE)=0,"",VLOOKUP($A183,'Pre-Assessment Estimator'!$A$10:$Z$225,Z$2,FALSE))</f>
        <v/>
      </c>
      <c r="AA183" s="696">
        <v>173</v>
      </c>
      <c r="AB183" s="577"/>
      <c r="AF183" s="386">
        <f t="shared" si="3"/>
        <v>1</v>
      </c>
    </row>
    <row r="184" spans="1:32" x14ac:dyDescent="0.25">
      <c r="A184" s="823">
        <v>175</v>
      </c>
      <c r="B184" s="1236" t="s">
        <v>71</v>
      </c>
      <c r="C184" s="1236"/>
      <c r="D184" s="1259" t="str">
        <f>VLOOKUP($A184,'Pre-Assessment Estimator'!$A$10:$Z$225,D$2,FALSE)</f>
        <v>LE 07</v>
      </c>
      <c r="E184" s="1260" t="str">
        <f>VLOOKUP($A184,'Pre-Assessment Estimator'!$A$10:$Z$225,E$2,FALSE)</f>
        <v>Pre-requisite: flood risk assessment</v>
      </c>
      <c r="F184" s="574" t="str">
        <f>VLOOKUP($A184,'Pre-Assessment Estimator'!$A$10:$Z$225,F$2,FALSE)</f>
        <v>Yes/No</v>
      </c>
      <c r="G184" s="580" t="str">
        <f>IF(VLOOKUP($A184,'Pre-Assessment Estimator'!$A$10:$Z$225,G$2,FALSE)=0,"",VLOOKUP($A184,'Pre-Assessment Estimator'!$A$10:$Z$225,G$2,FALSE))</f>
        <v/>
      </c>
      <c r="H184" s="1222" t="str">
        <f>VLOOKUP($A184,'Pre-Assessment Estimator'!$A$10:$Z$225,H$2,FALSE)</f>
        <v>-</v>
      </c>
      <c r="I184" s="576" t="str">
        <f>VLOOKUP($A184,'Pre-Assessment Estimator'!$A$10:$Z$225,I$2,FALSE)</f>
        <v>N/A</v>
      </c>
      <c r="J184" s="577" t="str">
        <f>IF(VLOOKUP($A184,'Pre-Assessment Estimator'!$A$10:$Z$225,J$2,FALSE)=0,"",VLOOKUP($A184,'Pre-Assessment Estimator'!$A$10:$Z$225,J$2,FALSE))</f>
        <v/>
      </c>
      <c r="K184" s="577" t="str">
        <f>IF(VLOOKUP($A184,'Pre-Assessment Estimator'!$A$10:$Z$225,K$2,FALSE)=0,"",VLOOKUP($A184,'Pre-Assessment Estimator'!$A$10:$Z$225,K$2,FALSE))</f>
        <v/>
      </c>
      <c r="L184" s="578" t="str">
        <f>IF(VLOOKUP($A184,'Pre-Assessment Estimator'!$A$10:$Z$225,L$2,FALSE)=0,"",VLOOKUP($A184,'Pre-Assessment Estimator'!$A$10:$Z$225,L$2,FALSE))</f>
        <v/>
      </c>
      <c r="M184" s="579"/>
      <c r="N184" s="580" t="str">
        <f>IF(VLOOKUP($A184,'Pre-Assessment Estimator'!$A$10:$Z$225,N$2,FALSE)=0,"",VLOOKUP($A184,'Pre-Assessment Estimator'!$A$10:$Z$225,N$2,FALSE))</f>
        <v/>
      </c>
      <c r="O184" s="575" t="str">
        <f>VLOOKUP($A184,'Pre-Assessment Estimator'!$A$10:$Z$225,O$2,FALSE)</f>
        <v>-</v>
      </c>
      <c r="P184" s="574" t="str">
        <f>VLOOKUP($A184,'Pre-Assessment Estimator'!$A$10:$Z$225,P$2,FALSE)</f>
        <v>N/A</v>
      </c>
      <c r="Q184" s="577" t="str">
        <f>IF(VLOOKUP($A184,'Pre-Assessment Estimator'!$A$10:$Z$225,Q$2,FALSE)=0,"",VLOOKUP($A184,'Pre-Assessment Estimator'!$A$10:$Z$225,Q$2,FALSE))</f>
        <v/>
      </c>
      <c r="R184" s="577" t="str">
        <f>IF(VLOOKUP($A184,'Pre-Assessment Estimator'!$A$10:$Z$225,R$2,FALSE)=0,"",VLOOKUP($A184,'Pre-Assessment Estimator'!$A$10:$Z$225,R$2,FALSE))</f>
        <v/>
      </c>
      <c r="S184" s="578" t="str">
        <f>IF(VLOOKUP($A184,'Pre-Assessment Estimator'!$A$10:$Z$225,S$2,FALSE)=0,"",VLOOKUP($A184,'Pre-Assessment Estimator'!$A$10:$Z$225,S$2,FALSE))</f>
        <v/>
      </c>
      <c r="T184" s="581"/>
      <c r="U184" s="580" t="str">
        <f>IF(VLOOKUP($A184,'Pre-Assessment Estimator'!$A$10:$Z$225,U$2,FALSE)=0,"",VLOOKUP($A184,'Pre-Assessment Estimator'!$A$10:$Z$225,U$2,FALSE))</f>
        <v/>
      </c>
      <c r="V184" s="575" t="str">
        <f>VLOOKUP($A184,'Pre-Assessment Estimator'!$A$10:$Z$225,V$2,FALSE)</f>
        <v>-</v>
      </c>
      <c r="W184" s="574" t="str">
        <f>VLOOKUP($A184,'Pre-Assessment Estimator'!$A$10:$Z$225,W$2,FALSE)</f>
        <v>N/A</v>
      </c>
      <c r="X184" s="577" t="str">
        <f>IF(VLOOKUP($A184,'Pre-Assessment Estimator'!$A$10:$Z$225,X$2,FALSE)=0,"",VLOOKUP($A184,'Pre-Assessment Estimator'!$A$10:$Z$225,X$2,FALSE))</f>
        <v/>
      </c>
      <c r="Y184" s="577" t="str">
        <f>IF(VLOOKUP($A184,'Pre-Assessment Estimator'!$A$10:$Z$225,Y$2,FALSE)=0,"",VLOOKUP($A184,'Pre-Assessment Estimator'!$A$10:$Z$225,Y$2,FALSE))</f>
        <v/>
      </c>
      <c r="Z184" s="370" t="str">
        <f>IF(VLOOKUP($A184,'Pre-Assessment Estimator'!$A$10:$Z$225,Z$2,FALSE)=0,"",VLOOKUP($A184,'Pre-Assessment Estimator'!$A$10:$Z$225,Z$2,FALSE))</f>
        <v/>
      </c>
      <c r="AA184" s="696">
        <v>174</v>
      </c>
      <c r="AB184" s="577"/>
      <c r="AF184" s="386">
        <f t="shared" si="3"/>
        <v>1</v>
      </c>
    </row>
    <row r="185" spans="1:32" x14ac:dyDescent="0.25">
      <c r="A185" s="823">
        <v>176</v>
      </c>
      <c r="B185" s="1236" t="s">
        <v>71</v>
      </c>
      <c r="C185" s="1236"/>
      <c r="D185" s="1259" t="str">
        <f>VLOOKUP($A185,'Pre-Assessment Estimator'!$A$10:$Z$225,D$2,FALSE)</f>
        <v>LE 07</v>
      </c>
      <c r="E185" s="1260" t="str">
        <f>VLOOKUP($A185,'Pre-Assessment Estimator'!$A$10:$Z$225,E$2,FALSE)</f>
        <v>Resilience against flood and storm surge</v>
      </c>
      <c r="F185" s="574">
        <f>VLOOKUP($A185,'Pre-Assessment Estimator'!$A$10:$Z$225,F$2,FALSE)</f>
        <v>2</v>
      </c>
      <c r="G185" s="580" t="str">
        <f>IF(VLOOKUP($A185,'Pre-Assessment Estimator'!$A$10:$Z$225,G$2,FALSE)=0,"",VLOOKUP($A185,'Pre-Assessment Estimator'!$A$10:$Z$225,G$2,FALSE))</f>
        <v/>
      </c>
      <c r="H185" s="1222">
        <f>VLOOKUP($A185,'Pre-Assessment Estimator'!$A$10:$Z$225,H$2,FALSE)</f>
        <v>0</v>
      </c>
      <c r="I185" s="576" t="str">
        <f>VLOOKUP($A185,'Pre-Assessment Estimator'!$A$10:$Z$225,I$2,FALSE)</f>
        <v>N/A</v>
      </c>
      <c r="J185" s="577" t="str">
        <f>IF(VLOOKUP($A185,'Pre-Assessment Estimator'!$A$10:$Z$225,J$2,FALSE)=0,"",VLOOKUP($A185,'Pre-Assessment Estimator'!$A$10:$Z$225,J$2,FALSE))</f>
        <v/>
      </c>
      <c r="K185" s="577" t="str">
        <f>IF(VLOOKUP($A185,'Pre-Assessment Estimator'!$A$10:$Z$225,K$2,FALSE)=0,"",VLOOKUP($A185,'Pre-Assessment Estimator'!$A$10:$Z$225,K$2,FALSE))</f>
        <v/>
      </c>
      <c r="L185" s="578" t="str">
        <f>IF(VLOOKUP($A185,'Pre-Assessment Estimator'!$A$10:$Z$225,L$2,FALSE)=0,"",VLOOKUP($A185,'Pre-Assessment Estimator'!$A$10:$Z$225,L$2,FALSE))</f>
        <v/>
      </c>
      <c r="M185" s="579"/>
      <c r="N185" s="580" t="str">
        <f>IF(VLOOKUP($A185,'Pre-Assessment Estimator'!$A$10:$Z$225,N$2,FALSE)=0,"",VLOOKUP($A185,'Pre-Assessment Estimator'!$A$10:$Z$225,N$2,FALSE))</f>
        <v/>
      </c>
      <c r="O185" s="575">
        <f>VLOOKUP($A185,'Pre-Assessment Estimator'!$A$10:$Z$225,O$2,FALSE)</f>
        <v>0</v>
      </c>
      <c r="P185" s="574" t="str">
        <f>VLOOKUP($A185,'Pre-Assessment Estimator'!$A$10:$Z$225,P$2,FALSE)</f>
        <v>N/A</v>
      </c>
      <c r="Q185" s="577" t="str">
        <f>IF(VLOOKUP($A185,'Pre-Assessment Estimator'!$A$10:$Z$225,Q$2,FALSE)=0,"",VLOOKUP($A185,'Pre-Assessment Estimator'!$A$10:$Z$225,Q$2,FALSE))</f>
        <v/>
      </c>
      <c r="R185" s="577" t="str">
        <f>IF(VLOOKUP($A185,'Pre-Assessment Estimator'!$A$10:$Z$225,R$2,FALSE)=0,"",VLOOKUP($A185,'Pre-Assessment Estimator'!$A$10:$Z$225,R$2,FALSE))</f>
        <v/>
      </c>
      <c r="S185" s="578" t="str">
        <f>IF(VLOOKUP($A185,'Pre-Assessment Estimator'!$A$10:$Z$225,S$2,FALSE)=0,"",VLOOKUP($A185,'Pre-Assessment Estimator'!$A$10:$Z$225,S$2,FALSE))</f>
        <v/>
      </c>
      <c r="T185" s="581"/>
      <c r="U185" s="580" t="str">
        <f>IF(VLOOKUP($A185,'Pre-Assessment Estimator'!$A$10:$Z$225,U$2,FALSE)=0,"",VLOOKUP($A185,'Pre-Assessment Estimator'!$A$10:$Z$225,U$2,FALSE))</f>
        <v/>
      </c>
      <c r="V185" s="575">
        <f>VLOOKUP($A185,'Pre-Assessment Estimator'!$A$10:$Z$225,V$2,FALSE)</f>
        <v>0</v>
      </c>
      <c r="W185" s="574" t="str">
        <f>VLOOKUP($A185,'Pre-Assessment Estimator'!$A$10:$Z$225,W$2,FALSE)</f>
        <v>N/A</v>
      </c>
      <c r="X185" s="577" t="str">
        <f>IF(VLOOKUP($A185,'Pre-Assessment Estimator'!$A$10:$Z$225,X$2,FALSE)=0,"",VLOOKUP($A185,'Pre-Assessment Estimator'!$A$10:$Z$225,X$2,FALSE))</f>
        <v/>
      </c>
      <c r="Y185" s="577" t="str">
        <f>IF(VLOOKUP($A185,'Pre-Assessment Estimator'!$A$10:$Z$225,Y$2,FALSE)=0,"",VLOOKUP($A185,'Pre-Assessment Estimator'!$A$10:$Z$225,Y$2,FALSE))</f>
        <v/>
      </c>
      <c r="Z185" s="370" t="str">
        <f>IF(VLOOKUP($A185,'Pre-Assessment Estimator'!$A$10:$Z$225,Z$2,FALSE)=0,"",VLOOKUP($A185,'Pre-Assessment Estimator'!$A$10:$Z$225,Z$2,FALSE))</f>
        <v/>
      </c>
      <c r="AA185" s="696">
        <v>175</v>
      </c>
      <c r="AB185" s="577"/>
      <c r="AF185" s="386">
        <f t="shared" si="3"/>
        <v>1</v>
      </c>
    </row>
    <row r="186" spans="1:32" x14ac:dyDescent="0.25">
      <c r="A186" s="823">
        <v>177</v>
      </c>
      <c r="B186" s="1236" t="s">
        <v>71</v>
      </c>
      <c r="C186" s="1236"/>
      <c r="D186" s="1258" t="str">
        <f>VLOOKUP($A186,'Pre-Assessment Estimator'!$A$10:$Z$225,D$2,FALSE)</f>
        <v>LE 08</v>
      </c>
      <c r="E186" s="1258" t="str">
        <f>VLOOKUP($A186,'Pre-Assessment Estimator'!$A$10:$Z$225,E$2,FALSE)</f>
        <v>LE 08 Local surface water handling</v>
      </c>
      <c r="F186" s="574">
        <f>VLOOKUP($A186,'Pre-Assessment Estimator'!$A$10:$Z$225,F$2,FALSE)</f>
        <v>3</v>
      </c>
      <c r="G186" s="580" t="str">
        <f>IF(VLOOKUP($A186,'Pre-Assessment Estimator'!$A$10:$Z$225,G$2,FALSE)=0,"",VLOOKUP($A186,'Pre-Assessment Estimator'!$A$10:$Z$225,G$2,FALSE))</f>
        <v/>
      </c>
      <c r="H186" s="1222" t="str">
        <f>VLOOKUP($A186,'Pre-Assessment Estimator'!$A$10:$Z$225,H$2,FALSE)</f>
        <v>0 c. 0 %</v>
      </c>
      <c r="I186" s="576" t="str">
        <f>VLOOKUP($A186,'Pre-Assessment Estimator'!$A$10:$Z$225,I$2,FALSE)</f>
        <v>N/A</v>
      </c>
      <c r="J186" s="577" t="str">
        <f>IF(VLOOKUP($A186,'Pre-Assessment Estimator'!$A$10:$Z$225,J$2,FALSE)=0,"",VLOOKUP($A186,'Pre-Assessment Estimator'!$A$10:$Z$225,J$2,FALSE))</f>
        <v/>
      </c>
      <c r="K186" s="577" t="str">
        <f>IF(VLOOKUP($A186,'Pre-Assessment Estimator'!$A$10:$Z$225,K$2,FALSE)=0,"",VLOOKUP($A186,'Pre-Assessment Estimator'!$A$10:$Z$225,K$2,FALSE))</f>
        <v/>
      </c>
      <c r="L186" s="578" t="str">
        <f>IF(VLOOKUP($A186,'Pre-Assessment Estimator'!$A$10:$Z$225,L$2,FALSE)=0,"",VLOOKUP($A186,'Pre-Assessment Estimator'!$A$10:$Z$225,L$2,FALSE))</f>
        <v/>
      </c>
      <c r="M186" s="579"/>
      <c r="N186" s="580" t="str">
        <f>IF(VLOOKUP($A186,'Pre-Assessment Estimator'!$A$10:$Z$225,N$2,FALSE)=0,"",VLOOKUP($A186,'Pre-Assessment Estimator'!$A$10:$Z$225,N$2,FALSE))</f>
        <v/>
      </c>
      <c r="O186" s="575" t="str">
        <f>VLOOKUP($A186,'Pre-Assessment Estimator'!$A$10:$Z$225,O$2,FALSE)</f>
        <v>0 c. 0 %</v>
      </c>
      <c r="P186" s="574" t="str">
        <f>VLOOKUP($A186,'Pre-Assessment Estimator'!$A$10:$Z$225,P$2,FALSE)</f>
        <v>N/A</v>
      </c>
      <c r="Q186" s="577" t="str">
        <f>IF(VLOOKUP($A186,'Pre-Assessment Estimator'!$A$10:$Z$225,Q$2,FALSE)=0,"",VLOOKUP($A186,'Pre-Assessment Estimator'!$A$10:$Z$225,Q$2,FALSE))</f>
        <v/>
      </c>
      <c r="R186" s="577" t="str">
        <f>IF(VLOOKUP($A186,'Pre-Assessment Estimator'!$A$10:$Z$225,R$2,FALSE)=0,"",VLOOKUP($A186,'Pre-Assessment Estimator'!$A$10:$Z$225,R$2,FALSE))</f>
        <v/>
      </c>
      <c r="S186" s="578" t="str">
        <f>IF(VLOOKUP($A186,'Pre-Assessment Estimator'!$A$10:$Z$225,S$2,FALSE)=0,"",VLOOKUP($A186,'Pre-Assessment Estimator'!$A$10:$Z$225,S$2,FALSE))</f>
        <v/>
      </c>
      <c r="T186" s="581"/>
      <c r="U186" s="580" t="str">
        <f>IF(VLOOKUP($A186,'Pre-Assessment Estimator'!$A$10:$Z$225,U$2,FALSE)=0,"",VLOOKUP($A186,'Pre-Assessment Estimator'!$A$10:$Z$225,U$2,FALSE))</f>
        <v/>
      </c>
      <c r="V186" s="575" t="str">
        <f>VLOOKUP($A186,'Pre-Assessment Estimator'!$A$10:$Z$225,V$2,FALSE)</f>
        <v>0 c. 0 %</v>
      </c>
      <c r="W186" s="574" t="str">
        <f>VLOOKUP($A186,'Pre-Assessment Estimator'!$A$10:$Z$225,W$2,FALSE)</f>
        <v>N/A</v>
      </c>
      <c r="X186" s="577" t="str">
        <f>IF(VLOOKUP($A186,'Pre-Assessment Estimator'!$A$10:$Z$225,X$2,FALSE)=0,"",VLOOKUP($A186,'Pre-Assessment Estimator'!$A$10:$Z$225,X$2,FALSE))</f>
        <v/>
      </c>
      <c r="Y186" s="577" t="str">
        <f>IF(VLOOKUP($A186,'Pre-Assessment Estimator'!$A$10:$Z$225,Y$2,FALSE)=0,"",VLOOKUP($A186,'Pre-Assessment Estimator'!$A$10:$Z$225,Y$2,FALSE))</f>
        <v/>
      </c>
      <c r="Z186" s="370" t="str">
        <f>IF(VLOOKUP($A186,'Pre-Assessment Estimator'!$A$10:$Z$225,Z$2,FALSE)=0,"",VLOOKUP($A186,'Pre-Assessment Estimator'!$A$10:$Z$225,Z$2,FALSE))</f>
        <v/>
      </c>
      <c r="AA186" s="696">
        <v>176</v>
      </c>
      <c r="AB186" s="577"/>
      <c r="AF186" s="386">
        <f t="shared" si="3"/>
        <v>1</v>
      </c>
    </row>
    <row r="187" spans="1:32" x14ac:dyDescent="0.25">
      <c r="A187" s="823">
        <v>178</v>
      </c>
      <c r="B187" s="1236" t="s">
        <v>71</v>
      </c>
      <c r="C187" s="1236"/>
      <c r="D187" s="1259" t="str">
        <f>VLOOKUP($A187,'Pre-Assessment Estimator'!$A$10:$Z$225,D$2,FALSE)</f>
        <v>LE 08</v>
      </c>
      <c r="E187" s="1260" t="str">
        <f>VLOOKUP($A187,'Pre-Assessment Estimator'!$A$10:$Z$225,E$2,FALSE)</f>
        <v>Pre-requisite: risk assessment and the "three- step strategy"</v>
      </c>
      <c r="F187" s="574" t="str">
        <f>VLOOKUP($A187,'Pre-Assessment Estimator'!$A$10:$Z$225,F$2,FALSE)</f>
        <v>Yes/No</v>
      </c>
      <c r="G187" s="580" t="str">
        <f>IF(VLOOKUP($A187,'Pre-Assessment Estimator'!$A$10:$Z$225,G$2,FALSE)=0,"",VLOOKUP($A187,'Pre-Assessment Estimator'!$A$10:$Z$225,G$2,FALSE))</f>
        <v/>
      </c>
      <c r="H187" s="1222" t="str">
        <f>VLOOKUP($A187,'Pre-Assessment Estimator'!$A$10:$Z$225,H$2,FALSE)</f>
        <v>-</v>
      </c>
      <c r="I187" s="576" t="str">
        <f>VLOOKUP($A187,'Pre-Assessment Estimator'!$A$10:$Z$225,I$2,FALSE)</f>
        <v>N/A</v>
      </c>
      <c r="J187" s="577" t="str">
        <f>IF(VLOOKUP($A187,'Pre-Assessment Estimator'!$A$10:$Z$225,J$2,FALSE)=0,"",VLOOKUP($A187,'Pre-Assessment Estimator'!$A$10:$Z$225,J$2,FALSE))</f>
        <v/>
      </c>
      <c r="K187" s="577" t="str">
        <f>IF(VLOOKUP($A187,'Pre-Assessment Estimator'!$A$10:$Z$225,K$2,FALSE)=0,"",VLOOKUP($A187,'Pre-Assessment Estimator'!$A$10:$Z$225,K$2,FALSE))</f>
        <v/>
      </c>
      <c r="L187" s="578" t="str">
        <f>IF(VLOOKUP($A187,'Pre-Assessment Estimator'!$A$10:$Z$225,L$2,FALSE)=0,"",VLOOKUP($A187,'Pre-Assessment Estimator'!$A$10:$Z$225,L$2,FALSE))</f>
        <v/>
      </c>
      <c r="M187" s="579"/>
      <c r="N187" s="580" t="str">
        <f>IF(VLOOKUP($A187,'Pre-Assessment Estimator'!$A$10:$Z$225,N$2,FALSE)=0,"",VLOOKUP($A187,'Pre-Assessment Estimator'!$A$10:$Z$225,N$2,FALSE))</f>
        <v/>
      </c>
      <c r="O187" s="575" t="str">
        <f>VLOOKUP($A187,'Pre-Assessment Estimator'!$A$10:$Z$225,O$2,FALSE)</f>
        <v>-</v>
      </c>
      <c r="P187" s="574" t="str">
        <f>VLOOKUP($A187,'Pre-Assessment Estimator'!$A$10:$Z$225,P$2,FALSE)</f>
        <v>N/A</v>
      </c>
      <c r="Q187" s="577" t="str">
        <f>IF(VLOOKUP($A187,'Pre-Assessment Estimator'!$A$10:$Z$225,Q$2,FALSE)=0,"",VLOOKUP($A187,'Pre-Assessment Estimator'!$A$10:$Z$225,Q$2,FALSE))</f>
        <v/>
      </c>
      <c r="R187" s="577" t="str">
        <f>IF(VLOOKUP($A187,'Pre-Assessment Estimator'!$A$10:$Z$225,R$2,FALSE)=0,"",VLOOKUP($A187,'Pre-Assessment Estimator'!$A$10:$Z$225,R$2,FALSE))</f>
        <v/>
      </c>
      <c r="S187" s="578" t="str">
        <f>IF(VLOOKUP($A187,'Pre-Assessment Estimator'!$A$10:$Z$225,S$2,FALSE)=0,"",VLOOKUP($A187,'Pre-Assessment Estimator'!$A$10:$Z$225,S$2,FALSE))</f>
        <v/>
      </c>
      <c r="T187" s="581"/>
      <c r="U187" s="580" t="str">
        <f>IF(VLOOKUP($A187,'Pre-Assessment Estimator'!$A$10:$Z$225,U$2,FALSE)=0,"",VLOOKUP($A187,'Pre-Assessment Estimator'!$A$10:$Z$225,U$2,FALSE))</f>
        <v/>
      </c>
      <c r="V187" s="575" t="str">
        <f>VLOOKUP($A187,'Pre-Assessment Estimator'!$A$10:$Z$225,V$2,FALSE)</f>
        <v>-</v>
      </c>
      <c r="W187" s="574" t="str">
        <f>VLOOKUP($A187,'Pre-Assessment Estimator'!$A$10:$Z$225,W$2,FALSE)</f>
        <v>N/A</v>
      </c>
      <c r="X187" s="577" t="str">
        <f>IF(VLOOKUP($A187,'Pre-Assessment Estimator'!$A$10:$Z$225,X$2,FALSE)=0,"",VLOOKUP($A187,'Pre-Assessment Estimator'!$A$10:$Z$225,X$2,FALSE))</f>
        <v/>
      </c>
      <c r="Y187" s="577" t="str">
        <f>IF(VLOOKUP($A187,'Pre-Assessment Estimator'!$A$10:$Z$225,Y$2,FALSE)=0,"",VLOOKUP($A187,'Pre-Assessment Estimator'!$A$10:$Z$225,Y$2,FALSE))</f>
        <v/>
      </c>
      <c r="Z187" s="370" t="str">
        <f>IF(VLOOKUP($A187,'Pre-Assessment Estimator'!$A$10:$Z$225,Z$2,FALSE)=0,"",VLOOKUP($A187,'Pre-Assessment Estimator'!$A$10:$Z$225,Z$2,FALSE))</f>
        <v/>
      </c>
      <c r="AA187" s="696">
        <v>177</v>
      </c>
      <c r="AB187" s="577"/>
      <c r="AF187" s="386">
        <f t="shared" si="3"/>
        <v>1</v>
      </c>
    </row>
    <row r="188" spans="1:32" x14ac:dyDescent="0.25">
      <c r="A188" s="823">
        <v>179</v>
      </c>
      <c r="B188" s="1236" t="s">
        <v>71</v>
      </c>
      <c r="C188" s="1236"/>
      <c r="D188" s="1259" t="str">
        <f>VLOOKUP($A188,'Pre-Assessment Estimator'!$A$10:$Z$225,D$2,FALSE)</f>
        <v>LE 08</v>
      </c>
      <c r="E188" s="1260" t="str">
        <f>VLOOKUP($A188,'Pre-Assessment Estimator'!$A$10:$Z$225,E$2,FALSE)</f>
        <v>5 mm precipitation</v>
      </c>
      <c r="F188" s="574">
        <f>VLOOKUP($A188,'Pre-Assessment Estimator'!$A$10:$Z$225,F$2,FALSE)</f>
        <v>1</v>
      </c>
      <c r="G188" s="580" t="str">
        <f>IF(VLOOKUP($A188,'Pre-Assessment Estimator'!$A$10:$Z$225,G$2,FALSE)=0,"",VLOOKUP($A188,'Pre-Assessment Estimator'!$A$10:$Z$225,G$2,FALSE))</f>
        <v/>
      </c>
      <c r="H188" s="1222">
        <f>VLOOKUP($A188,'Pre-Assessment Estimator'!$A$10:$Z$225,H$2,FALSE)</f>
        <v>0</v>
      </c>
      <c r="I188" s="576" t="str">
        <f>VLOOKUP($A188,'Pre-Assessment Estimator'!$A$10:$Z$225,I$2,FALSE)</f>
        <v>N/A</v>
      </c>
      <c r="J188" s="577" t="str">
        <f>IF(VLOOKUP($A188,'Pre-Assessment Estimator'!$A$10:$Z$225,J$2,FALSE)=0,"",VLOOKUP($A188,'Pre-Assessment Estimator'!$A$10:$Z$225,J$2,FALSE))</f>
        <v/>
      </c>
      <c r="K188" s="577" t="str">
        <f>IF(VLOOKUP($A188,'Pre-Assessment Estimator'!$A$10:$Z$225,K$2,FALSE)=0,"",VLOOKUP($A188,'Pre-Assessment Estimator'!$A$10:$Z$225,K$2,FALSE))</f>
        <v/>
      </c>
      <c r="L188" s="578" t="str">
        <f>IF(VLOOKUP($A188,'Pre-Assessment Estimator'!$A$10:$Z$225,L$2,FALSE)=0,"",VLOOKUP($A188,'Pre-Assessment Estimator'!$A$10:$Z$225,L$2,FALSE))</f>
        <v/>
      </c>
      <c r="M188" s="579"/>
      <c r="N188" s="580" t="str">
        <f>IF(VLOOKUP($A188,'Pre-Assessment Estimator'!$A$10:$Z$225,N$2,FALSE)=0,"",VLOOKUP($A188,'Pre-Assessment Estimator'!$A$10:$Z$225,N$2,FALSE))</f>
        <v/>
      </c>
      <c r="O188" s="575">
        <f>VLOOKUP($A188,'Pre-Assessment Estimator'!$A$10:$Z$225,O$2,FALSE)</f>
        <v>0</v>
      </c>
      <c r="P188" s="574" t="str">
        <f>VLOOKUP($A188,'Pre-Assessment Estimator'!$A$10:$Z$225,P$2,FALSE)</f>
        <v>N/A</v>
      </c>
      <c r="Q188" s="577" t="str">
        <f>IF(VLOOKUP($A188,'Pre-Assessment Estimator'!$A$10:$Z$225,Q$2,FALSE)=0,"",VLOOKUP($A188,'Pre-Assessment Estimator'!$A$10:$Z$225,Q$2,FALSE))</f>
        <v/>
      </c>
      <c r="R188" s="577" t="str">
        <f>IF(VLOOKUP($A188,'Pre-Assessment Estimator'!$A$10:$Z$225,R$2,FALSE)=0,"",VLOOKUP($A188,'Pre-Assessment Estimator'!$A$10:$Z$225,R$2,FALSE))</f>
        <v/>
      </c>
      <c r="S188" s="578" t="str">
        <f>IF(VLOOKUP($A188,'Pre-Assessment Estimator'!$A$10:$Z$225,S$2,FALSE)=0,"",VLOOKUP($A188,'Pre-Assessment Estimator'!$A$10:$Z$225,S$2,FALSE))</f>
        <v/>
      </c>
      <c r="T188" s="581"/>
      <c r="U188" s="580" t="str">
        <f>IF(VLOOKUP($A188,'Pre-Assessment Estimator'!$A$10:$Z$225,U$2,FALSE)=0,"",VLOOKUP($A188,'Pre-Assessment Estimator'!$A$10:$Z$225,U$2,FALSE))</f>
        <v/>
      </c>
      <c r="V188" s="575">
        <f>VLOOKUP($A188,'Pre-Assessment Estimator'!$A$10:$Z$225,V$2,FALSE)</f>
        <v>0</v>
      </c>
      <c r="W188" s="574" t="str">
        <f>VLOOKUP($A188,'Pre-Assessment Estimator'!$A$10:$Z$225,W$2,FALSE)</f>
        <v>N/A</v>
      </c>
      <c r="X188" s="577" t="str">
        <f>IF(VLOOKUP($A188,'Pre-Assessment Estimator'!$A$10:$Z$225,X$2,FALSE)=0,"",VLOOKUP($A188,'Pre-Assessment Estimator'!$A$10:$Z$225,X$2,FALSE))</f>
        <v/>
      </c>
      <c r="Y188" s="577" t="str">
        <f>IF(VLOOKUP($A188,'Pre-Assessment Estimator'!$A$10:$Z$225,Y$2,FALSE)=0,"",VLOOKUP($A188,'Pre-Assessment Estimator'!$A$10:$Z$225,Y$2,FALSE))</f>
        <v/>
      </c>
      <c r="Z188" s="370" t="str">
        <f>IF(VLOOKUP($A188,'Pre-Assessment Estimator'!$A$10:$Z$225,Z$2,FALSE)=0,"",VLOOKUP($A188,'Pre-Assessment Estimator'!$A$10:$Z$225,Z$2,FALSE))</f>
        <v/>
      </c>
      <c r="AA188" s="696">
        <v>178</v>
      </c>
      <c r="AB188" s="577" t="str">
        <f>IF(VLOOKUP($A188,'Pre-Assessment Estimator'!$A$10:$AB$225,AB$2,FALSE)=0,"",VLOOKUP($A188,'Pre-Assessment Estimator'!$A$10:$AB$225,AB$2,FALSE))</f>
        <v/>
      </c>
      <c r="AF188" s="386">
        <f t="shared" si="3"/>
        <v>1</v>
      </c>
    </row>
    <row r="189" spans="1:32" x14ac:dyDescent="0.25">
      <c r="A189" s="823">
        <v>180</v>
      </c>
      <c r="B189" s="1236" t="s">
        <v>71</v>
      </c>
      <c r="C189" s="1236"/>
      <c r="D189" s="1259" t="str">
        <f>VLOOKUP($A189,'Pre-Assessment Estimator'!$A$10:$Z$225,D$2,FALSE)</f>
        <v>LE 08</v>
      </c>
      <c r="E189" s="1260" t="str">
        <f>VLOOKUP($A189,'Pre-Assessment Estimator'!$A$10:$Z$225,E$2,FALSE)</f>
        <v>Maximum run-off</v>
      </c>
      <c r="F189" s="574">
        <f>VLOOKUP($A189,'Pre-Assessment Estimator'!$A$10:$Z$225,F$2,FALSE)</f>
        <v>1</v>
      </c>
      <c r="G189" s="580" t="str">
        <f>IF(VLOOKUP($A189,'Pre-Assessment Estimator'!$A$10:$Z$225,G$2,FALSE)=0,"",VLOOKUP($A189,'Pre-Assessment Estimator'!$A$10:$Z$225,G$2,FALSE))</f>
        <v/>
      </c>
      <c r="H189" s="1222">
        <f>VLOOKUP($A189,'Pre-Assessment Estimator'!$A$10:$Z$225,H$2,FALSE)</f>
        <v>0</v>
      </c>
      <c r="I189" s="576" t="str">
        <f>VLOOKUP($A189,'Pre-Assessment Estimator'!$A$10:$Z$225,I$2,FALSE)</f>
        <v>N/A</v>
      </c>
      <c r="J189" s="577" t="str">
        <f>IF(VLOOKUP($A189,'Pre-Assessment Estimator'!$A$10:$Z$225,J$2,FALSE)=0,"",VLOOKUP($A189,'Pre-Assessment Estimator'!$A$10:$Z$225,J$2,FALSE))</f>
        <v/>
      </c>
      <c r="K189" s="577" t="str">
        <f>IF(VLOOKUP($A189,'Pre-Assessment Estimator'!$A$10:$Z$225,K$2,FALSE)=0,"",VLOOKUP($A189,'Pre-Assessment Estimator'!$A$10:$Z$225,K$2,FALSE))</f>
        <v/>
      </c>
      <c r="L189" s="578" t="str">
        <f>IF(VLOOKUP($A189,'Pre-Assessment Estimator'!$A$10:$Z$225,L$2,FALSE)=0,"",VLOOKUP($A189,'Pre-Assessment Estimator'!$A$10:$Z$225,L$2,FALSE))</f>
        <v/>
      </c>
      <c r="M189" s="579"/>
      <c r="N189" s="580" t="str">
        <f>IF(VLOOKUP($A189,'Pre-Assessment Estimator'!$A$10:$Z$225,N$2,FALSE)=0,"",VLOOKUP($A189,'Pre-Assessment Estimator'!$A$10:$Z$225,N$2,FALSE))</f>
        <v/>
      </c>
      <c r="O189" s="575">
        <f>VLOOKUP($A189,'Pre-Assessment Estimator'!$A$10:$Z$225,O$2,FALSE)</f>
        <v>0</v>
      </c>
      <c r="P189" s="574" t="str">
        <f>VLOOKUP($A189,'Pre-Assessment Estimator'!$A$10:$Z$225,P$2,FALSE)</f>
        <v>N/A</v>
      </c>
      <c r="Q189" s="577" t="str">
        <f>IF(VLOOKUP($A189,'Pre-Assessment Estimator'!$A$10:$Z$225,Q$2,FALSE)=0,"",VLOOKUP($A189,'Pre-Assessment Estimator'!$A$10:$Z$225,Q$2,FALSE))</f>
        <v/>
      </c>
      <c r="R189" s="577" t="str">
        <f>IF(VLOOKUP($A189,'Pre-Assessment Estimator'!$A$10:$Z$225,R$2,FALSE)=0,"",VLOOKUP($A189,'Pre-Assessment Estimator'!$A$10:$Z$225,R$2,FALSE))</f>
        <v/>
      </c>
      <c r="S189" s="578" t="str">
        <f>IF(VLOOKUP($A189,'Pre-Assessment Estimator'!$A$10:$Z$225,S$2,FALSE)=0,"",VLOOKUP($A189,'Pre-Assessment Estimator'!$A$10:$Z$225,S$2,FALSE))</f>
        <v/>
      </c>
      <c r="T189" s="581"/>
      <c r="U189" s="580" t="str">
        <f>IF(VLOOKUP($A189,'Pre-Assessment Estimator'!$A$10:$Z$225,U$2,FALSE)=0,"",VLOOKUP($A189,'Pre-Assessment Estimator'!$A$10:$Z$225,U$2,FALSE))</f>
        <v/>
      </c>
      <c r="V189" s="575">
        <f>VLOOKUP($A189,'Pre-Assessment Estimator'!$A$10:$Z$225,V$2,FALSE)</f>
        <v>0</v>
      </c>
      <c r="W189" s="574" t="str">
        <f>VLOOKUP($A189,'Pre-Assessment Estimator'!$A$10:$Z$225,W$2,FALSE)</f>
        <v>N/A</v>
      </c>
      <c r="X189" s="577" t="str">
        <f>IF(VLOOKUP($A189,'Pre-Assessment Estimator'!$A$10:$Z$225,X$2,FALSE)=0,"",VLOOKUP($A189,'Pre-Assessment Estimator'!$A$10:$Z$225,X$2,FALSE))</f>
        <v/>
      </c>
      <c r="Y189" s="577" t="str">
        <f>IF(VLOOKUP($A189,'Pre-Assessment Estimator'!$A$10:$Z$225,Y$2,FALSE)=0,"",VLOOKUP($A189,'Pre-Assessment Estimator'!$A$10:$Z$225,Y$2,FALSE))</f>
        <v/>
      </c>
      <c r="Z189" s="370" t="str">
        <f>IF(VLOOKUP($A189,'Pre-Assessment Estimator'!$A$10:$Z$225,Z$2,FALSE)=0,"",VLOOKUP($A189,'Pre-Assessment Estimator'!$A$10:$Z$225,Z$2,FALSE))</f>
        <v/>
      </c>
      <c r="AA189" s="696">
        <v>179</v>
      </c>
      <c r="AB189" s="585" t="str">
        <f>IF(VLOOKUP($A189,'Pre-Assessment Estimator'!$A$10:$AB$225,AB$2,FALSE)=0,"",VLOOKUP($A189,'Pre-Assessment Estimator'!$A$10:$AB$225,AB$2,FALSE))</f>
        <v/>
      </c>
      <c r="AC189" s="389"/>
      <c r="AD189" s="389"/>
      <c r="AE189" s="389"/>
      <c r="AF189" s="386">
        <f t="shared" si="3"/>
        <v>1</v>
      </c>
    </row>
    <row r="190" spans="1:32" x14ac:dyDescent="0.25">
      <c r="A190" s="823">
        <v>181</v>
      </c>
      <c r="B190" s="1236" t="s">
        <v>72</v>
      </c>
      <c r="C190" s="1236"/>
      <c r="D190" s="1259" t="str">
        <f>VLOOKUP($A190,'Pre-Assessment Estimator'!$A$10:$Z$225,D$2,FALSE)</f>
        <v>LE 08</v>
      </c>
      <c r="E190" s="1260" t="str">
        <f>VLOOKUP($A190,'Pre-Assessment Estimator'!$A$10:$Z$225,E$2,FALSE)</f>
        <v>Measures for surface-based water management</v>
      </c>
      <c r="F190" s="574">
        <f>VLOOKUP($A190,'Pre-Assessment Estimator'!$A$10:$Z$225,F$2,FALSE)</f>
        <v>1</v>
      </c>
      <c r="G190" s="580" t="str">
        <f>IF(VLOOKUP($A190,'Pre-Assessment Estimator'!$A$10:$Z$225,G$2,FALSE)=0,"",VLOOKUP($A190,'Pre-Assessment Estimator'!$A$10:$Z$225,G$2,FALSE))</f>
        <v/>
      </c>
      <c r="H190" s="1222">
        <f>VLOOKUP($A190,'Pre-Assessment Estimator'!$A$10:$Z$225,H$2,FALSE)</f>
        <v>0</v>
      </c>
      <c r="I190" s="576" t="str">
        <f>VLOOKUP($A190,'Pre-Assessment Estimator'!$A$10:$Z$225,I$2,FALSE)</f>
        <v>N/A</v>
      </c>
      <c r="J190" s="577" t="str">
        <f>IF(VLOOKUP($A190,'Pre-Assessment Estimator'!$A$10:$Z$225,J$2,FALSE)=0,"",VLOOKUP($A190,'Pre-Assessment Estimator'!$A$10:$Z$225,J$2,FALSE))</f>
        <v/>
      </c>
      <c r="K190" s="577" t="str">
        <f>IF(VLOOKUP($A190,'Pre-Assessment Estimator'!$A$10:$Z$225,K$2,FALSE)=0,"",VLOOKUP($A190,'Pre-Assessment Estimator'!$A$10:$Z$225,K$2,FALSE))</f>
        <v/>
      </c>
      <c r="L190" s="578" t="str">
        <f>IF(VLOOKUP($A190,'Pre-Assessment Estimator'!$A$10:$Z$225,L$2,FALSE)=0,"",VLOOKUP($A190,'Pre-Assessment Estimator'!$A$10:$Z$225,L$2,FALSE))</f>
        <v/>
      </c>
      <c r="M190" s="579"/>
      <c r="N190" s="580" t="str">
        <f>IF(VLOOKUP($A190,'Pre-Assessment Estimator'!$A$10:$Z$225,N$2,FALSE)=0,"",VLOOKUP($A190,'Pre-Assessment Estimator'!$A$10:$Z$225,N$2,FALSE))</f>
        <v/>
      </c>
      <c r="O190" s="575">
        <f>VLOOKUP($A190,'Pre-Assessment Estimator'!$A$10:$Z$225,O$2,FALSE)</f>
        <v>0</v>
      </c>
      <c r="P190" s="574" t="str">
        <f>VLOOKUP($A190,'Pre-Assessment Estimator'!$A$10:$Z$225,P$2,FALSE)</f>
        <v>N/A</v>
      </c>
      <c r="Q190" s="577" t="str">
        <f>IF(VLOOKUP($A190,'Pre-Assessment Estimator'!$A$10:$Z$225,Q$2,FALSE)=0,"",VLOOKUP($A190,'Pre-Assessment Estimator'!$A$10:$Z$225,Q$2,FALSE))</f>
        <v/>
      </c>
      <c r="R190" s="577" t="str">
        <f>IF(VLOOKUP($A190,'Pre-Assessment Estimator'!$A$10:$Z$225,R$2,FALSE)=0,"",VLOOKUP($A190,'Pre-Assessment Estimator'!$A$10:$Z$225,R$2,FALSE))</f>
        <v/>
      </c>
      <c r="S190" s="578" t="str">
        <f>IF(VLOOKUP($A190,'Pre-Assessment Estimator'!$A$10:$Z$225,S$2,FALSE)=0,"",VLOOKUP($A190,'Pre-Assessment Estimator'!$A$10:$Z$225,S$2,FALSE))</f>
        <v/>
      </c>
      <c r="T190" s="581"/>
      <c r="U190" s="580" t="str">
        <f>IF(VLOOKUP($A190,'Pre-Assessment Estimator'!$A$10:$Z$225,U$2,FALSE)=0,"",VLOOKUP($A190,'Pre-Assessment Estimator'!$A$10:$Z$225,U$2,FALSE))</f>
        <v/>
      </c>
      <c r="V190" s="575">
        <f>VLOOKUP($A190,'Pre-Assessment Estimator'!$A$10:$Z$225,V$2,FALSE)</f>
        <v>0</v>
      </c>
      <c r="W190" s="574" t="str">
        <f>VLOOKUP($A190,'Pre-Assessment Estimator'!$A$10:$Z$225,W$2,FALSE)</f>
        <v>N/A</v>
      </c>
      <c r="X190" s="577" t="str">
        <f>IF(VLOOKUP($A190,'Pre-Assessment Estimator'!$A$10:$Z$225,X$2,FALSE)=0,"",VLOOKUP($A190,'Pre-Assessment Estimator'!$A$10:$Z$225,X$2,FALSE))</f>
        <v/>
      </c>
      <c r="Y190" s="577" t="str">
        <f>IF(VLOOKUP($A190,'Pre-Assessment Estimator'!$A$10:$Z$225,Y$2,FALSE)=0,"",VLOOKUP($A190,'Pre-Assessment Estimator'!$A$10:$Z$225,Y$2,FALSE))</f>
        <v/>
      </c>
      <c r="Z190" s="370" t="str">
        <f>IF(VLOOKUP($A190,'Pre-Assessment Estimator'!$A$10:$Z$225,Z$2,FALSE)=0,"",VLOOKUP($A190,'Pre-Assessment Estimator'!$A$10:$Z$225,Z$2,FALSE))</f>
        <v/>
      </c>
      <c r="AA190" s="696">
        <v>180</v>
      </c>
      <c r="AB190" s="697" t="str">
        <f>IF(VLOOKUP($A190,'Pre-Assessment Estimator'!$A$10:$AB$225,AB$2,FALSE)=0,"",VLOOKUP($A190,'Pre-Assessment Estimator'!$A$10:$AB$225,AB$2,FALSE))</f>
        <v/>
      </c>
      <c r="AF190" s="386">
        <f t="shared" si="3"/>
        <v>1</v>
      </c>
    </row>
    <row r="191" spans="1:32" ht="30.75" thickBot="1" x14ac:dyDescent="0.3">
      <c r="A191" s="823">
        <v>182</v>
      </c>
      <c r="B191" s="1236" t="s">
        <v>72</v>
      </c>
      <c r="C191" s="1236"/>
      <c r="D191" s="1261"/>
      <c r="E191" s="1261" t="str">
        <f>VLOOKUP($A191,'Pre-Assessment Estimator'!$A$10:$Z$225,E$2,FALSE)</f>
        <v>Total performance land use and ecology</v>
      </c>
      <c r="F191" s="582">
        <f>VLOOKUP($A191,'Pre-Assessment Estimator'!$A$10:$Z$225,F$2,FALSE)</f>
        <v>19</v>
      </c>
      <c r="G191" s="584" t="str">
        <f>IF(VLOOKUP($A191,'Pre-Assessment Estimator'!$A$10:$Z$225,G$2,FALSE)=0,"",VLOOKUP($A191,'Pre-Assessment Estimator'!$A$10:$Z$225,G$2,FALSE))</f>
        <v/>
      </c>
      <c r="H191" s="583">
        <f>VLOOKUP($A191,'Pre-Assessment Estimator'!$A$10:$Z$225,H$2,FALSE)</f>
        <v>0</v>
      </c>
      <c r="I191" s="582" t="str">
        <f>VLOOKUP($A191,'Pre-Assessment Estimator'!$A$10:$Z$225,I$2,FALSE)</f>
        <v>Credits achieved: 0</v>
      </c>
      <c r="J191" s="1204" t="str">
        <f>IF(VLOOKUP($A191,'Pre-Assessment Estimator'!$A$10:$Z$225,J$2,FALSE)=0,"",VLOOKUP($A191,'Pre-Assessment Estimator'!$A$10:$Z$225,J$2,FALSE))</f>
        <v/>
      </c>
      <c r="K191" s="1204" t="str">
        <f>IF(VLOOKUP($A191,'Pre-Assessment Estimator'!$A$10:$Z$225,K$2,FALSE)=0,"",VLOOKUP($A191,'Pre-Assessment Estimator'!$A$10:$Z$225,K$2,FALSE))</f>
        <v/>
      </c>
      <c r="L191" s="1223" t="str">
        <f>IF(VLOOKUP($A191,'Pre-Assessment Estimator'!$A$10:$Z$225,L$2,FALSE)=0,"",VLOOKUP($A191,'Pre-Assessment Estimator'!$A$10:$Z$225,L$2,FALSE))</f>
        <v/>
      </c>
      <c r="M191" s="1224"/>
      <c r="N191" s="584" t="str">
        <f>IF(VLOOKUP($A191,'Pre-Assessment Estimator'!$A$10:$Z$225,N$2,FALSE)=0,"",VLOOKUP($A191,'Pre-Assessment Estimator'!$A$10:$Z$225,N$2,FALSE))</f>
        <v/>
      </c>
      <c r="O191" s="583">
        <f>VLOOKUP($A191,'Pre-Assessment Estimator'!$A$10:$Z$225,O$2,FALSE)</f>
        <v>0</v>
      </c>
      <c r="P191" s="582" t="str">
        <f>VLOOKUP($A191,'Pre-Assessment Estimator'!$A$10:$Z$225,P$2,FALSE)</f>
        <v>Credits achieved: 0</v>
      </c>
      <c r="Q191" s="1204" t="str">
        <f>IF(VLOOKUP($A191,'Pre-Assessment Estimator'!$A$10:$Z$225,Q$2,FALSE)=0,"",VLOOKUP($A191,'Pre-Assessment Estimator'!$A$10:$Z$225,Q$2,FALSE))</f>
        <v/>
      </c>
      <c r="R191" s="1204" t="str">
        <f>IF(VLOOKUP($A191,'Pre-Assessment Estimator'!$A$10:$Z$225,R$2,FALSE)=0,"",VLOOKUP($A191,'Pre-Assessment Estimator'!$A$10:$Z$225,R$2,FALSE))</f>
        <v/>
      </c>
      <c r="S191" s="1223" t="str">
        <f>IF(VLOOKUP($A191,'Pre-Assessment Estimator'!$A$10:$Z$225,S$2,FALSE)=0,"",VLOOKUP($A191,'Pre-Assessment Estimator'!$A$10:$Z$225,S$2,FALSE))</f>
        <v/>
      </c>
      <c r="T191" s="1225"/>
      <c r="U191" s="584" t="str">
        <f>IF(VLOOKUP($A191,'Pre-Assessment Estimator'!$A$10:$Z$225,U$2,FALSE)=0,"",VLOOKUP($A191,'Pre-Assessment Estimator'!$A$10:$Z$225,U$2,FALSE))</f>
        <v/>
      </c>
      <c r="V191" s="583">
        <f>VLOOKUP($A191,'Pre-Assessment Estimator'!$A$10:$Z$225,V$2,FALSE)</f>
        <v>0</v>
      </c>
      <c r="W191" s="582" t="str">
        <f>VLOOKUP($A191,'Pre-Assessment Estimator'!$A$10:$Z$225,W$2,FALSE)</f>
        <v>Credits achieved: 0</v>
      </c>
      <c r="X191" s="1204" t="str">
        <f>IF(VLOOKUP($A191,'Pre-Assessment Estimator'!$A$10:$Z$225,X$2,FALSE)=0,"",VLOOKUP($A191,'Pre-Assessment Estimator'!$A$10:$Z$225,X$2,FALSE))</f>
        <v/>
      </c>
      <c r="Y191" s="1204" t="str">
        <f>IF(VLOOKUP($A191,'Pre-Assessment Estimator'!$A$10:$Z$225,Y$2,FALSE)=0,"",VLOOKUP($A191,'Pre-Assessment Estimator'!$A$10:$Z$225,Y$2,FALSE))</f>
        <v/>
      </c>
      <c r="Z191" s="1226" t="str">
        <f>IF(VLOOKUP($A191,'Pre-Assessment Estimator'!$A$10:$Z$225,Z$2,FALSE)=0,"",VLOOKUP($A191,'Pre-Assessment Estimator'!$A$10:$Z$225,Z$2,FALSE))</f>
        <v/>
      </c>
      <c r="AA191" s="696">
        <v>181</v>
      </c>
      <c r="AB191" s="577" t="str">
        <f>IF(VLOOKUP($A191,'Pre-Assessment Estimator'!$A$10:$AB$225,AB$2,FALSE)=0,"",VLOOKUP($A191,'Pre-Assessment Estimator'!$A$10:$AB$225,AB$2,FALSE))</f>
        <v/>
      </c>
      <c r="AF191" s="386">
        <f t="shared" si="3"/>
        <v>1</v>
      </c>
    </row>
    <row r="192" spans="1:32" x14ac:dyDescent="0.25">
      <c r="A192" s="823">
        <v>183</v>
      </c>
      <c r="B192" s="1236" t="s">
        <v>72</v>
      </c>
      <c r="C192" s="1236"/>
      <c r="D192" s="585"/>
      <c r="E192" s="585"/>
      <c r="F192" s="586"/>
      <c r="G192" s="586"/>
      <c r="H192" s="586"/>
      <c r="I192" s="586"/>
      <c r="J192" s="585"/>
      <c r="K192" s="586"/>
      <c r="L192" s="585"/>
      <c r="M192" s="579"/>
      <c r="N192" s="586"/>
      <c r="O192" s="586"/>
      <c r="P192" s="586"/>
      <c r="Q192" s="585"/>
      <c r="R192" s="586"/>
      <c r="S192" s="585"/>
      <c r="T192" s="581"/>
      <c r="U192" s="586"/>
      <c r="V192" s="586"/>
      <c r="W192" s="586"/>
      <c r="X192" s="585"/>
      <c r="Y192" s="586"/>
      <c r="Z192" s="343"/>
      <c r="AA192" s="696">
        <v>182</v>
      </c>
      <c r="AB192" s="577" t="str">
        <f>IF(VLOOKUP($A192,'Pre-Assessment Estimator'!$A$10:$AB$225,AB$2,FALSE)=0,"",VLOOKUP($A192,'Pre-Assessment Estimator'!$A$10:$AB$225,AB$2,FALSE))</f>
        <v/>
      </c>
      <c r="AF192" s="386">
        <f t="shared" si="3"/>
        <v>1</v>
      </c>
    </row>
    <row r="193" spans="1:32" ht="18.75" x14ac:dyDescent="0.25">
      <c r="A193" s="823">
        <v>184</v>
      </c>
      <c r="B193" s="1236" t="s">
        <v>72</v>
      </c>
      <c r="C193" s="1236"/>
      <c r="D193" s="587"/>
      <c r="E193" s="587" t="s">
        <v>72</v>
      </c>
      <c r="F193" s="570"/>
      <c r="G193" s="570"/>
      <c r="H193" s="570"/>
      <c r="I193" s="570"/>
      <c r="J193" s="571"/>
      <c r="K193" s="570"/>
      <c r="L193" s="571"/>
      <c r="M193" s="579"/>
      <c r="N193" s="570"/>
      <c r="O193" s="570"/>
      <c r="P193" s="570"/>
      <c r="Q193" s="571"/>
      <c r="R193" s="570"/>
      <c r="S193" s="571"/>
      <c r="T193" s="581"/>
      <c r="U193" s="570"/>
      <c r="V193" s="570"/>
      <c r="W193" s="570"/>
      <c r="X193" s="571"/>
      <c r="Y193" s="570"/>
      <c r="Z193" s="411"/>
      <c r="AA193" s="696">
        <v>183</v>
      </c>
      <c r="AB193" s="577"/>
      <c r="AF193" s="386">
        <f t="shared" si="3"/>
        <v>1</v>
      </c>
    </row>
    <row r="194" spans="1:32" x14ac:dyDescent="0.25">
      <c r="A194" s="823">
        <v>185</v>
      </c>
      <c r="B194" s="1236" t="s">
        <v>72</v>
      </c>
      <c r="C194" s="1236"/>
      <c r="D194" s="1258" t="str">
        <f>VLOOKUP($A194,'Pre-Assessment Estimator'!$A$10:$Z$225,D$2,FALSE)</f>
        <v>POL 01</v>
      </c>
      <c r="E194" s="1258" t="str">
        <f>VLOOKUP($A194,'Pre-Assessment Estimator'!$A$10:$Z$225,E$2,FALSE)</f>
        <v>POL 01 Impacts of refrigerants</v>
      </c>
      <c r="F194" s="574">
        <f>VLOOKUP($A194,'Pre-Assessment Estimator'!$A$10:$Z$225,F$2,FALSE)</f>
        <v>3</v>
      </c>
      <c r="G194" s="580" t="str">
        <f>IF(VLOOKUP($A194,'Pre-Assessment Estimator'!$A$10:$Z$225,G$2,FALSE)=0,"",VLOOKUP($A194,'Pre-Assessment Estimator'!$A$10:$Z$225,G$2,FALSE))</f>
        <v/>
      </c>
      <c r="H194" s="1222" t="str">
        <f>VLOOKUP($A194,'Pre-Assessment Estimator'!$A$10:$Z$225,H$2,FALSE)</f>
        <v>0 c. 0 %</v>
      </c>
      <c r="I194" s="576" t="str">
        <f>VLOOKUP($A194,'Pre-Assessment Estimator'!$A$10:$Z$225,I$2,FALSE)</f>
        <v>N/A</v>
      </c>
      <c r="J194" s="577" t="str">
        <f>IF(VLOOKUP($A194,'Pre-Assessment Estimator'!$A$10:$Z$225,J$2,FALSE)=0,"",VLOOKUP($A194,'Pre-Assessment Estimator'!$A$10:$Z$225,J$2,FALSE))</f>
        <v/>
      </c>
      <c r="K194" s="577" t="str">
        <f>IF(VLOOKUP($A194,'Pre-Assessment Estimator'!$A$10:$Z$225,K$2,FALSE)=0,"",VLOOKUP($A194,'Pre-Assessment Estimator'!$A$10:$Z$225,K$2,FALSE))</f>
        <v/>
      </c>
      <c r="L194" s="578" t="str">
        <f>IF(VLOOKUP($A194,'Pre-Assessment Estimator'!$A$10:$Z$225,L$2,FALSE)=0,"",VLOOKUP($A194,'Pre-Assessment Estimator'!$A$10:$Z$225,L$2,FALSE))</f>
        <v/>
      </c>
      <c r="M194" s="579"/>
      <c r="N194" s="580" t="str">
        <f>IF(VLOOKUP($A194,'Pre-Assessment Estimator'!$A$10:$Z$225,N$2,FALSE)=0,"",VLOOKUP($A194,'Pre-Assessment Estimator'!$A$10:$Z$225,N$2,FALSE))</f>
        <v/>
      </c>
      <c r="O194" s="575" t="str">
        <f>VLOOKUP($A194,'Pre-Assessment Estimator'!$A$10:$Z$225,O$2,FALSE)</f>
        <v>0 c. 0 %</v>
      </c>
      <c r="P194" s="574" t="str">
        <f>VLOOKUP($A194,'Pre-Assessment Estimator'!$A$10:$Z$225,P$2,FALSE)</f>
        <v>N/A</v>
      </c>
      <c r="Q194" s="577" t="str">
        <f>IF(VLOOKUP($A194,'Pre-Assessment Estimator'!$A$10:$Z$225,Q$2,FALSE)=0,"",VLOOKUP($A194,'Pre-Assessment Estimator'!$A$10:$Z$225,Q$2,FALSE))</f>
        <v/>
      </c>
      <c r="R194" s="577" t="str">
        <f>IF(VLOOKUP($A194,'Pre-Assessment Estimator'!$A$10:$Z$225,R$2,FALSE)=0,"",VLOOKUP($A194,'Pre-Assessment Estimator'!$A$10:$Z$225,R$2,FALSE))</f>
        <v/>
      </c>
      <c r="S194" s="578" t="str">
        <f>IF(VLOOKUP($A194,'Pre-Assessment Estimator'!$A$10:$Z$225,S$2,FALSE)=0,"",VLOOKUP($A194,'Pre-Assessment Estimator'!$A$10:$Z$225,S$2,FALSE))</f>
        <v/>
      </c>
      <c r="T194" s="581"/>
      <c r="U194" s="580" t="str">
        <f>IF(VLOOKUP($A194,'Pre-Assessment Estimator'!$A$10:$Z$225,U$2,FALSE)=0,"",VLOOKUP($A194,'Pre-Assessment Estimator'!$A$10:$Z$225,U$2,FALSE))</f>
        <v/>
      </c>
      <c r="V194" s="575" t="str">
        <f>VLOOKUP($A194,'Pre-Assessment Estimator'!$A$10:$Z$225,V$2,FALSE)</f>
        <v>0 c. 0 %</v>
      </c>
      <c r="W194" s="574" t="str">
        <f>VLOOKUP($A194,'Pre-Assessment Estimator'!$A$10:$Z$225,W$2,FALSE)</f>
        <v>N/A</v>
      </c>
      <c r="X194" s="577" t="str">
        <f>IF(VLOOKUP($A194,'Pre-Assessment Estimator'!$A$10:$Z$225,X$2,FALSE)=0,"",VLOOKUP($A194,'Pre-Assessment Estimator'!$A$10:$Z$225,X$2,FALSE))</f>
        <v/>
      </c>
      <c r="Y194" s="577" t="str">
        <f>IF(VLOOKUP($A194,'Pre-Assessment Estimator'!$A$10:$Z$225,Y$2,FALSE)=0,"",VLOOKUP($A194,'Pre-Assessment Estimator'!$A$10:$Z$225,Y$2,FALSE))</f>
        <v/>
      </c>
      <c r="Z194" s="370" t="str">
        <f>IF(VLOOKUP($A194,'Pre-Assessment Estimator'!$A$10:$Z$225,Z$2,FALSE)=0,"",VLOOKUP($A194,'Pre-Assessment Estimator'!$A$10:$Z$225,Z$2,FALSE))</f>
        <v/>
      </c>
      <c r="AA194" s="696">
        <v>184</v>
      </c>
      <c r="AB194" s="577"/>
      <c r="AF194" s="386">
        <f t="shared" si="3"/>
        <v>1</v>
      </c>
    </row>
    <row r="195" spans="1:32" x14ac:dyDescent="0.25">
      <c r="A195" s="823">
        <v>186</v>
      </c>
      <c r="B195" s="1236" t="s">
        <v>72</v>
      </c>
      <c r="C195" s="1236"/>
      <c r="D195" s="1259" t="str">
        <f>VLOOKUP($A195,'Pre-Assessment Estimator'!$A$10:$Z$225,D$2,FALSE)</f>
        <v>POL 01</v>
      </c>
      <c r="E195" s="1259" t="str">
        <f>VLOOKUP($A195,'Pre-Assessment Estimator'!$A$10:$Z$225,E$2,FALSE)</f>
        <v>No refrigerants in the building</v>
      </c>
      <c r="F195" s="574">
        <f>VLOOKUP($A195,'Pre-Assessment Estimator'!$A$10:$Z$225,F$2,FALSE)</f>
        <v>3</v>
      </c>
      <c r="G195" s="580" t="str">
        <f>IF(VLOOKUP($A195,'Pre-Assessment Estimator'!$A$10:$Z$225,G$2,FALSE)=0,"",VLOOKUP($A195,'Pre-Assessment Estimator'!$A$10:$Z$225,G$2,FALSE))</f>
        <v/>
      </c>
      <c r="H195" s="1222">
        <f>VLOOKUP($A195,'Pre-Assessment Estimator'!$A$10:$Z$225,H$2,FALSE)</f>
        <v>0</v>
      </c>
      <c r="I195" s="576" t="str">
        <f>VLOOKUP($A195,'Pre-Assessment Estimator'!$A$10:$Z$225,I$2,FALSE)</f>
        <v>N/A</v>
      </c>
      <c r="J195" s="577" t="str">
        <f>IF(VLOOKUP($A195,'Pre-Assessment Estimator'!$A$10:$Z$225,J$2,FALSE)=0,"",VLOOKUP($A195,'Pre-Assessment Estimator'!$A$10:$Z$225,J$2,FALSE))</f>
        <v/>
      </c>
      <c r="K195" s="577" t="str">
        <f>IF(VLOOKUP($A195,'Pre-Assessment Estimator'!$A$10:$Z$225,K$2,FALSE)=0,"",VLOOKUP($A195,'Pre-Assessment Estimator'!$A$10:$Z$225,K$2,FALSE))</f>
        <v/>
      </c>
      <c r="L195" s="578" t="str">
        <f>IF(VLOOKUP($A195,'Pre-Assessment Estimator'!$A$10:$Z$225,L$2,FALSE)=0,"",VLOOKUP($A195,'Pre-Assessment Estimator'!$A$10:$Z$225,L$2,FALSE))</f>
        <v/>
      </c>
      <c r="M195" s="579"/>
      <c r="N195" s="580" t="str">
        <f>IF(VLOOKUP($A195,'Pre-Assessment Estimator'!$A$10:$Z$225,N$2,FALSE)=0,"",VLOOKUP($A195,'Pre-Assessment Estimator'!$A$10:$Z$225,N$2,FALSE))</f>
        <v/>
      </c>
      <c r="O195" s="575">
        <f>VLOOKUP($A195,'Pre-Assessment Estimator'!$A$10:$Z$225,O$2,FALSE)</f>
        <v>0</v>
      </c>
      <c r="P195" s="574" t="str">
        <f>VLOOKUP($A195,'Pre-Assessment Estimator'!$A$10:$Z$225,P$2,FALSE)</f>
        <v>N/A</v>
      </c>
      <c r="Q195" s="577" t="str">
        <f>IF(VLOOKUP($A195,'Pre-Assessment Estimator'!$A$10:$Z$225,Q$2,FALSE)=0,"",VLOOKUP($A195,'Pre-Assessment Estimator'!$A$10:$Z$225,Q$2,FALSE))</f>
        <v/>
      </c>
      <c r="R195" s="577" t="str">
        <f>IF(VLOOKUP($A195,'Pre-Assessment Estimator'!$A$10:$Z$225,R$2,FALSE)=0,"",VLOOKUP($A195,'Pre-Assessment Estimator'!$A$10:$Z$225,R$2,FALSE))</f>
        <v/>
      </c>
      <c r="S195" s="578" t="str">
        <f>IF(VLOOKUP($A195,'Pre-Assessment Estimator'!$A$10:$Z$225,S$2,FALSE)=0,"",VLOOKUP($A195,'Pre-Assessment Estimator'!$A$10:$Z$225,S$2,FALSE))</f>
        <v/>
      </c>
      <c r="T195" s="581"/>
      <c r="U195" s="580" t="str">
        <f>IF(VLOOKUP($A195,'Pre-Assessment Estimator'!$A$10:$Z$225,U$2,FALSE)=0,"",VLOOKUP($A195,'Pre-Assessment Estimator'!$A$10:$Z$225,U$2,FALSE))</f>
        <v/>
      </c>
      <c r="V195" s="575">
        <f>VLOOKUP($A195,'Pre-Assessment Estimator'!$A$10:$Z$225,V$2,FALSE)</f>
        <v>0</v>
      </c>
      <c r="W195" s="574" t="str">
        <f>VLOOKUP($A195,'Pre-Assessment Estimator'!$A$10:$Z$225,W$2,FALSE)</f>
        <v>N/A</v>
      </c>
      <c r="X195" s="577" t="str">
        <f>IF(VLOOKUP($A195,'Pre-Assessment Estimator'!$A$10:$Z$225,X$2,FALSE)=0,"",VLOOKUP($A195,'Pre-Assessment Estimator'!$A$10:$Z$225,X$2,FALSE))</f>
        <v/>
      </c>
      <c r="Y195" s="577" t="str">
        <f>IF(VLOOKUP($A195,'Pre-Assessment Estimator'!$A$10:$Z$225,Y$2,FALSE)=0,"",VLOOKUP($A195,'Pre-Assessment Estimator'!$A$10:$Z$225,Y$2,FALSE))</f>
        <v/>
      </c>
      <c r="Z195" s="370" t="str">
        <f>IF(VLOOKUP($A195,'Pre-Assessment Estimator'!$A$10:$Z$225,Z$2,FALSE)=0,"",VLOOKUP($A195,'Pre-Assessment Estimator'!$A$10:$Z$225,Z$2,FALSE))</f>
        <v/>
      </c>
      <c r="AA195" s="696">
        <v>185</v>
      </c>
      <c r="AB195" s="577"/>
      <c r="AF195" s="386">
        <f t="shared" si="3"/>
        <v>1</v>
      </c>
    </row>
    <row r="196" spans="1:32" x14ac:dyDescent="0.25">
      <c r="A196" s="823">
        <v>187</v>
      </c>
      <c r="B196" s="1236" t="s">
        <v>72</v>
      </c>
      <c r="C196" s="1236"/>
      <c r="D196" s="1259" t="str">
        <f>VLOOKUP($A196,'Pre-Assessment Estimator'!$A$10:$Z$225,D$2,FALSE)</f>
        <v>POL 01</v>
      </c>
      <c r="E196" s="1259" t="str">
        <f>VLOOKUP($A196,'Pre-Assessment Estimator'!$A$10:$Z$225,E$2,FALSE)</f>
        <v>Pre-requisite: impact of refrigerants</v>
      </c>
      <c r="F196" s="574">
        <f>VLOOKUP($A196,'Pre-Assessment Estimator'!$A$10:$Z$225,F$2,FALSE)</f>
        <v>0</v>
      </c>
      <c r="G196" s="580" t="str">
        <f>IF(VLOOKUP($A196,'Pre-Assessment Estimator'!$A$10:$Z$225,G$2,FALSE)=0,"",VLOOKUP($A196,'Pre-Assessment Estimator'!$A$10:$Z$225,G$2,FALSE))</f>
        <v/>
      </c>
      <c r="H196" s="1222" t="str">
        <f>VLOOKUP($A196,'Pre-Assessment Estimator'!$A$10:$Z$225,H$2,FALSE)</f>
        <v>-</v>
      </c>
      <c r="I196" s="576" t="str">
        <f>VLOOKUP($A196,'Pre-Assessment Estimator'!$A$10:$Z$225,I$2,FALSE)</f>
        <v>N/A</v>
      </c>
      <c r="J196" s="577" t="str">
        <f>IF(VLOOKUP($A196,'Pre-Assessment Estimator'!$A$10:$Z$225,J$2,FALSE)=0,"",VLOOKUP($A196,'Pre-Assessment Estimator'!$A$10:$Z$225,J$2,FALSE))</f>
        <v/>
      </c>
      <c r="K196" s="577" t="str">
        <f>IF(VLOOKUP($A196,'Pre-Assessment Estimator'!$A$10:$Z$225,K$2,FALSE)=0,"",VLOOKUP($A196,'Pre-Assessment Estimator'!$A$10:$Z$225,K$2,FALSE))</f>
        <v/>
      </c>
      <c r="L196" s="578" t="str">
        <f>IF(VLOOKUP($A196,'Pre-Assessment Estimator'!$A$10:$Z$225,L$2,FALSE)=0,"",VLOOKUP($A196,'Pre-Assessment Estimator'!$A$10:$Z$225,L$2,FALSE))</f>
        <v/>
      </c>
      <c r="M196" s="579"/>
      <c r="N196" s="580" t="str">
        <f>IF(VLOOKUP($A196,'Pre-Assessment Estimator'!$A$10:$Z$225,N$2,FALSE)=0,"",VLOOKUP($A196,'Pre-Assessment Estimator'!$A$10:$Z$225,N$2,FALSE))</f>
        <v/>
      </c>
      <c r="O196" s="575" t="str">
        <f>VLOOKUP($A196,'Pre-Assessment Estimator'!$A$10:$Z$225,O$2,FALSE)</f>
        <v>-</v>
      </c>
      <c r="P196" s="574" t="str">
        <f>VLOOKUP($A196,'Pre-Assessment Estimator'!$A$10:$Z$225,P$2,FALSE)</f>
        <v>N/A</v>
      </c>
      <c r="Q196" s="577" t="str">
        <f>IF(VLOOKUP($A196,'Pre-Assessment Estimator'!$A$10:$Z$225,Q$2,FALSE)=0,"",VLOOKUP($A196,'Pre-Assessment Estimator'!$A$10:$Z$225,Q$2,FALSE))</f>
        <v/>
      </c>
      <c r="R196" s="577" t="str">
        <f>IF(VLOOKUP($A196,'Pre-Assessment Estimator'!$A$10:$Z$225,R$2,FALSE)=0,"",VLOOKUP($A196,'Pre-Assessment Estimator'!$A$10:$Z$225,R$2,FALSE))</f>
        <v/>
      </c>
      <c r="S196" s="578" t="str">
        <f>IF(VLOOKUP($A196,'Pre-Assessment Estimator'!$A$10:$Z$225,S$2,FALSE)=0,"",VLOOKUP($A196,'Pre-Assessment Estimator'!$A$10:$Z$225,S$2,FALSE))</f>
        <v/>
      </c>
      <c r="T196" s="581"/>
      <c r="U196" s="580" t="str">
        <f>IF(VLOOKUP($A196,'Pre-Assessment Estimator'!$A$10:$Z$225,U$2,FALSE)=0,"",VLOOKUP($A196,'Pre-Assessment Estimator'!$A$10:$Z$225,U$2,FALSE))</f>
        <v/>
      </c>
      <c r="V196" s="575" t="str">
        <f>VLOOKUP($A196,'Pre-Assessment Estimator'!$A$10:$Z$225,V$2,FALSE)</f>
        <v>-</v>
      </c>
      <c r="W196" s="574" t="str">
        <f>VLOOKUP($A196,'Pre-Assessment Estimator'!$A$10:$Z$225,W$2,FALSE)</f>
        <v>N/A</v>
      </c>
      <c r="X196" s="577" t="str">
        <f>IF(VLOOKUP($A196,'Pre-Assessment Estimator'!$A$10:$Z$225,X$2,FALSE)=0,"",VLOOKUP($A196,'Pre-Assessment Estimator'!$A$10:$Z$225,X$2,FALSE))</f>
        <v/>
      </c>
      <c r="Y196" s="577" t="str">
        <f>IF(VLOOKUP($A196,'Pre-Assessment Estimator'!$A$10:$Z$225,Y$2,FALSE)=0,"",VLOOKUP($A196,'Pre-Assessment Estimator'!$A$10:$Z$225,Y$2,FALSE))</f>
        <v/>
      </c>
      <c r="Z196" s="370" t="str">
        <f>IF(VLOOKUP($A196,'Pre-Assessment Estimator'!$A$10:$Z$225,Z$2,FALSE)=0,"",VLOOKUP($A196,'Pre-Assessment Estimator'!$A$10:$Z$225,Z$2,FALSE))</f>
        <v/>
      </c>
      <c r="AA196" s="696">
        <v>186</v>
      </c>
      <c r="AB196" s="577"/>
      <c r="AF196" s="386">
        <f t="shared" si="3"/>
        <v>2</v>
      </c>
    </row>
    <row r="197" spans="1:32" x14ac:dyDescent="0.25">
      <c r="A197" s="823">
        <v>188</v>
      </c>
      <c r="B197" s="1236" t="s">
        <v>72</v>
      </c>
      <c r="C197" s="1236"/>
      <c r="D197" s="1259" t="str">
        <f>VLOOKUP($A197,'Pre-Assessment Estimator'!$A$10:$Z$225,D$2,FALSE)</f>
        <v>POL 01</v>
      </c>
      <c r="E197" s="1259" t="str">
        <f>VLOOKUP($A197,'Pre-Assessment Estimator'!$A$10:$Z$225,E$2,FALSE)</f>
        <v>Impact of refrigerants</v>
      </c>
      <c r="F197" s="574">
        <f>VLOOKUP($A197,'Pre-Assessment Estimator'!$A$10:$Z$225,F$2,FALSE)</f>
        <v>0</v>
      </c>
      <c r="G197" s="580" t="str">
        <f>IF(VLOOKUP($A197,'Pre-Assessment Estimator'!$A$10:$Z$225,G$2,FALSE)=0,"",VLOOKUP($A197,'Pre-Assessment Estimator'!$A$10:$Z$225,G$2,FALSE))</f>
        <v/>
      </c>
      <c r="H197" s="1222">
        <f>VLOOKUP($A197,'Pre-Assessment Estimator'!$A$10:$Z$225,H$2,FALSE)</f>
        <v>0</v>
      </c>
      <c r="I197" s="576" t="str">
        <f>VLOOKUP($A197,'Pre-Assessment Estimator'!$A$10:$Z$225,I$2,FALSE)</f>
        <v>N/A</v>
      </c>
      <c r="J197" s="577" t="str">
        <f>IF(VLOOKUP($A197,'Pre-Assessment Estimator'!$A$10:$Z$225,J$2,FALSE)=0,"",VLOOKUP($A197,'Pre-Assessment Estimator'!$A$10:$Z$225,J$2,FALSE))</f>
        <v/>
      </c>
      <c r="K197" s="577" t="str">
        <f>IF(VLOOKUP($A197,'Pre-Assessment Estimator'!$A$10:$Z$225,K$2,FALSE)=0,"",VLOOKUP($A197,'Pre-Assessment Estimator'!$A$10:$Z$225,K$2,FALSE))</f>
        <v/>
      </c>
      <c r="L197" s="578" t="str">
        <f>IF(VLOOKUP($A197,'Pre-Assessment Estimator'!$A$10:$Z$225,L$2,FALSE)=0,"",VLOOKUP($A197,'Pre-Assessment Estimator'!$A$10:$Z$225,L$2,FALSE))</f>
        <v/>
      </c>
      <c r="M197" s="579"/>
      <c r="N197" s="580" t="str">
        <f>IF(VLOOKUP($A197,'Pre-Assessment Estimator'!$A$10:$Z$225,N$2,FALSE)=0,"",VLOOKUP($A197,'Pre-Assessment Estimator'!$A$10:$Z$225,N$2,FALSE))</f>
        <v/>
      </c>
      <c r="O197" s="575">
        <f>VLOOKUP($A197,'Pre-Assessment Estimator'!$A$10:$Z$225,O$2,FALSE)</f>
        <v>0</v>
      </c>
      <c r="P197" s="574" t="str">
        <f>VLOOKUP($A197,'Pre-Assessment Estimator'!$A$10:$Z$225,P$2,FALSE)</f>
        <v>N/A</v>
      </c>
      <c r="Q197" s="577" t="str">
        <f>IF(VLOOKUP($A197,'Pre-Assessment Estimator'!$A$10:$Z$225,Q$2,FALSE)=0,"",VLOOKUP($A197,'Pre-Assessment Estimator'!$A$10:$Z$225,Q$2,FALSE))</f>
        <v/>
      </c>
      <c r="R197" s="577" t="str">
        <f>IF(VLOOKUP($A197,'Pre-Assessment Estimator'!$A$10:$Z$225,R$2,FALSE)=0,"",VLOOKUP($A197,'Pre-Assessment Estimator'!$A$10:$Z$225,R$2,FALSE))</f>
        <v/>
      </c>
      <c r="S197" s="578" t="str">
        <f>IF(VLOOKUP($A197,'Pre-Assessment Estimator'!$A$10:$Z$225,S$2,FALSE)=0,"",VLOOKUP($A197,'Pre-Assessment Estimator'!$A$10:$Z$225,S$2,FALSE))</f>
        <v/>
      </c>
      <c r="T197" s="581"/>
      <c r="U197" s="580" t="str">
        <f>IF(VLOOKUP($A197,'Pre-Assessment Estimator'!$A$10:$Z$225,U$2,FALSE)=0,"",VLOOKUP($A197,'Pre-Assessment Estimator'!$A$10:$Z$225,U$2,FALSE))</f>
        <v/>
      </c>
      <c r="V197" s="575">
        <f>VLOOKUP($A197,'Pre-Assessment Estimator'!$A$10:$Z$225,V$2,FALSE)</f>
        <v>0</v>
      </c>
      <c r="W197" s="574" t="str">
        <f>VLOOKUP($A197,'Pre-Assessment Estimator'!$A$10:$Z$225,W$2,FALSE)</f>
        <v>N/A</v>
      </c>
      <c r="X197" s="577" t="str">
        <f>IF(VLOOKUP($A197,'Pre-Assessment Estimator'!$A$10:$Z$225,X$2,FALSE)=0,"",VLOOKUP($A197,'Pre-Assessment Estimator'!$A$10:$Z$225,X$2,FALSE))</f>
        <v/>
      </c>
      <c r="Y197" s="577" t="str">
        <f>IF(VLOOKUP($A197,'Pre-Assessment Estimator'!$A$10:$Z$225,Y$2,FALSE)=0,"",VLOOKUP($A197,'Pre-Assessment Estimator'!$A$10:$Z$225,Y$2,FALSE))</f>
        <v/>
      </c>
      <c r="Z197" s="370" t="str">
        <f>IF(VLOOKUP($A197,'Pre-Assessment Estimator'!$A$10:$Z$225,Z$2,FALSE)=0,"",VLOOKUP($A197,'Pre-Assessment Estimator'!$A$10:$Z$225,Z$2,FALSE))</f>
        <v/>
      </c>
      <c r="AA197" s="696">
        <v>187</v>
      </c>
      <c r="AB197" s="577"/>
      <c r="AF197" s="386">
        <f t="shared" si="3"/>
        <v>2</v>
      </c>
    </row>
    <row r="198" spans="1:32" x14ac:dyDescent="0.25">
      <c r="A198" s="823">
        <v>189</v>
      </c>
      <c r="B198" s="1236" t="s">
        <v>72</v>
      </c>
      <c r="C198" s="1236"/>
      <c r="D198" s="1259" t="str">
        <f>VLOOKUP($A198,'Pre-Assessment Estimator'!$A$10:$Z$225,D$2,FALSE)</f>
        <v>POL 01</v>
      </c>
      <c r="E198" s="1259" t="str">
        <f>VLOOKUP($A198,'Pre-Assessment Estimator'!$A$10:$Z$225,E$2,FALSE)</f>
        <v>Leak detection</v>
      </c>
      <c r="F198" s="574">
        <f>VLOOKUP($A198,'Pre-Assessment Estimator'!$A$10:$Z$225,F$2,FALSE)</f>
        <v>0</v>
      </c>
      <c r="G198" s="580" t="str">
        <f>IF(VLOOKUP($A198,'Pre-Assessment Estimator'!$A$10:$Z$225,G$2,FALSE)=0,"",VLOOKUP($A198,'Pre-Assessment Estimator'!$A$10:$Z$225,G$2,FALSE))</f>
        <v/>
      </c>
      <c r="H198" s="1222">
        <f>VLOOKUP($A198,'Pre-Assessment Estimator'!$A$10:$Z$225,H$2,FALSE)</f>
        <v>0</v>
      </c>
      <c r="I198" s="576" t="str">
        <f>VLOOKUP($A198,'Pre-Assessment Estimator'!$A$10:$Z$225,I$2,FALSE)</f>
        <v>N/A</v>
      </c>
      <c r="J198" s="577" t="str">
        <f>IF(VLOOKUP($A198,'Pre-Assessment Estimator'!$A$10:$Z$225,J$2,FALSE)=0,"",VLOOKUP($A198,'Pre-Assessment Estimator'!$A$10:$Z$225,J$2,FALSE))</f>
        <v/>
      </c>
      <c r="K198" s="577" t="str">
        <f>IF(VLOOKUP($A198,'Pre-Assessment Estimator'!$A$10:$Z$225,K$2,FALSE)=0,"",VLOOKUP($A198,'Pre-Assessment Estimator'!$A$10:$Z$225,K$2,FALSE))</f>
        <v/>
      </c>
      <c r="L198" s="578" t="str">
        <f>IF(VLOOKUP($A198,'Pre-Assessment Estimator'!$A$10:$Z$225,L$2,FALSE)=0,"",VLOOKUP($A198,'Pre-Assessment Estimator'!$A$10:$Z$225,L$2,FALSE))</f>
        <v/>
      </c>
      <c r="M198" s="579"/>
      <c r="N198" s="580" t="str">
        <f>IF(VLOOKUP($A198,'Pre-Assessment Estimator'!$A$10:$Z$225,N$2,FALSE)=0,"",VLOOKUP($A198,'Pre-Assessment Estimator'!$A$10:$Z$225,N$2,FALSE))</f>
        <v/>
      </c>
      <c r="O198" s="575">
        <f>VLOOKUP($A198,'Pre-Assessment Estimator'!$A$10:$Z$225,O$2,FALSE)</f>
        <v>0</v>
      </c>
      <c r="P198" s="574" t="str">
        <f>VLOOKUP($A198,'Pre-Assessment Estimator'!$A$10:$Z$225,P$2,FALSE)</f>
        <v>N/A</v>
      </c>
      <c r="Q198" s="577" t="str">
        <f>IF(VLOOKUP($A198,'Pre-Assessment Estimator'!$A$10:$Z$225,Q$2,FALSE)=0,"",VLOOKUP($A198,'Pre-Assessment Estimator'!$A$10:$Z$225,Q$2,FALSE))</f>
        <v/>
      </c>
      <c r="R198" s="577" t="str">
        <f>IF(VLOOKUP($A198,'Pre-Assessment Estimator'!$A$10:$Z$225,R$2,FALSE)=0,"",VLOOKUP($A198,'Pre-Assessment Estimator'!$A$10:$Z$225,R$2,FALSE))</f>
        <v/>
      </c>
      <c r="S198" s="578" t="str">
        <f>IF(VLOOKUP($A198,'Pre-Assessment Estimator'!$A$10:$Z$225,S$2,FALSE)=0,"",VLOOKUP($A198,'Pre-Assessment Estimator'!$A$10:$Z$225,S$2,FALSE))</f>
        <v/>
      </c>
      <c r="T198" s="581"/>
      <c r="U198" s="580" t="str">
        <f>IF(VLOOKUP($A198,'Pre-Assessment Estimator'!$A$10:$Z$225,U$2,FALSE)=0,"",VLOOKUP($A198,'Pre-Assessment Estimator'!$A$10:$Z$225,U$2,FALSE))</f>
        <v/>
      </c>
      <c r="V198" s="575">
        <f>VLOOKUP($A198,'Pre-Assessment Estimator'!$A$10:$Z$225,V$2,FALSE)</f>
        <v>0</v>
      </c>
      <c r="W198" s="574" t="str">
        <f>VLOOKUP($A198,'Pre-Assessment Estimator'!$A$10:$Z$225,W$2,FALSE)</f>
        <v>N/A</v>
      </c>
      <c r="X198" s="577" t="str">
        <f>IF(VLOOKUP($A198,'Pre-Assessment Estimator'!$A$10:$Z$225,X$2,FALSE)=0,"",VLOOKUP($A198,'Pre-Assessment Estimator'!$A$10:$Z$225,X$2,FALSE))</f>
        <v/>
      </c>
      <c r="Y198" s="577" t="str">
        <f>IF(VLOOKUP($A198,'Pre-Assessment Estimator'!$A$10:$Z$225,Y$2,FALSE)=0,"",VLOOKUP($A198,'Pre-Assessment Estimator'!$A$10:$Z$225,Y$2,FALSE))</f>
        <v/>
      </c>
      <c r="Z198" s="370" t="str">
        <f>IF(VLOOKUP($A198,'Pre-Assessment Estimator'!$A$10:$Z$225,Z$2,FALSE)=0,"",VLOOKUP($A198,'Pre-Assessment Estimator'!$A$10:$Z$225,Z$2,FALSE))</f>
        <v/>
      </c>
      <c r="AA198" s="696">
        <v>188</v>
      </c>
      <c r="AB198" s="577"/>
      <c r="AF198" s="386">
        <f t="shared" si="3"/>
        <v>2</v>
      </c>
    </row>
    <row r="199" spans="1:32" x14ac:dyDescent="0.25">
      <c r="A199" s="823">
        <v>190</v>
      </c>
      <c r="B199" s="1236" t="s">
        <v>72</v>
      </c>
      <c r="C199" s="1236"/>
      <c r="D199" s="1258" t="str">
        <f>VLOOKUP($A199,'Pre-Assessment Estimator'!$A$10:$Z$225,D$2,FALSE)</f>
        <v>POL 02</v>
      </c>
      <c r="E199" s="1258" t="str">
        <f>VLOOKUP($A199,'Pre-Assessment Estimator'!$A$10:$Z$225,E$2,FALSE)</f>
        <v>POL 02 Local air quality</v>
      </c>
      <c r="F199" s="574">
        <f>VLOOKUP($A199,'Pre-Assessment Estimator'!$A$10:$Z$225,F$2,FALSE)</f>
        <v>2</v>
      </c>
      <c r="G199" s="580" t="str">
        <f>IF(VLOOKUP($A199,'Pre-Assessment Estimator'!$A$10:$Z$225,G$2,FALSE)=0,"",VLOOKUP($A199,'Pre-Assessment Estimator'!$A$10:$Z$225,G$2,FALSE))</f>
        <v/>
      </c>
      <c r="H199" s="1222" t="str">
        <f>VLOOKUP($A199,'Pre-Assessment Estimator'!$A$10:$Z$225,H$2,FALSE)</f>
        <v>0 c. 0 %</v>
      </c>
      <c r="I199" s="576" t="str">
        <f>VLOOKUP($A199,'Pre-Assessment Estimator'!$A$10:$Z$225,I$2,FALSE)</f>
        <v>N/A</v>
      </c>
      <c r="J199" s="577" t="str">
        <f>IF(VLOOKUP($A199,'Pre-Assessment Estimator'!$A$10:$Z$225,J$2,FALSE)=0,"",VLOOKUP($A199,'Pre-Assessment Estimator'!$A$10:$Z$225,J$2,FALSE))</f>
        <v/>
      </c>
      <c r="K199" s="577" t="str">
        <f>IF(VLOOKUP($A199,'Pre-Assessment Estimator'!$A$10:$Z$225,K$2,FALSE)=0,"",VLOOKUP($A199,'Pre-Assessment Estimator'!$A$10:$Z$225,K$2,FALSE))</f>
        <v/>
      </c>
      <c r="L199" s="578" t="str">
        <f>IF(VLOOKUP($A199,'Pre-Assessment Estimator'!$A$10:$Z$225,L$2,FALSE)=0,"",VLOOKUP($A199,'Pre-Assessment Estimator'!$A$10:$Z$225,L$2,FALSE))</f>
        <v/>
      </c>
      <c r="M199" s="579"/>
      <c r="N199" s="580" t="str">
        <f>IF(VLOOKUP($A199,'Pre-Assessment Estimator'!$A$10:$Z$225,N$2,FALSE)=0,"",VLOOKUP($A199,'Pre-Assessment Estimator'!$A$10:$Z$225,N$2,FALSE))</f>
        <v/>
      </c>
      <c r="O199" s="575" t="str">
        <f>VLOOKUP($A199,'Pre-Assessment Estimator'!$A$10:$Z$225,O$2,FALSE)</f>
        <v>0 c. 0 %</v>
      </c>
      <c r="P199" s="574" t="str">
        <f>VLOOKUP($A199,'Pre-Assessment Estimator'!$A$10:$Z$225,P$2,FALSE)</f>
        <v>N/A</v>
      </c>
      <c r="Q199" s="577" t="str">
        <f>IF(VLOOKUP($A199,'Pre-Assessment Estimator'!$A$10:$Z$225,Q$2,FALSE)=0,"",VLOOKUP($A199,'Pre-Assessment Estimator'!$A$10:$Z$225,Q$2,FALSE))</f>
        <v/>
      </c>
      <c r="R199" s="577" t="str">
        <f>IF(VLOOKUP($A199,'Pre-Assessment Estimator'!$A$10:$Z$225,R$2,FALSE)=0,"",VLOOKUP($A199,'Pre-Assessment Estimator'!$A$10:$Z$225,R$2,FALSE))</f>
        <v/>
      </c>
      <c r="S199" s="578" t="str">
        <f>IF(VLOOKUP($A199,'Pre-Assessment Estimator'!$A$10:$Z$225,S$2,FALSE)=0,"",VLOOKUP($A199,'Pre-Assessment Estimator'!$A$10:$Z$225,S$2,FALSE))</f>
        <v/>
      </c>
      <c r="T199" s="581"/>
      <c r="U199" s="580" t="str">
        <f>IF(VLOOKUP($A199,'Pre-Assessment Estimator'!$A$10:$Z$225,U$2,FALSE)=0,"",VLOOKUP($A199,'Pre-Assessment Estimator'!$A$10:$Z$225,U$2,FALSE))</f>
        <v/>
      </c>
      <c r="V199" s="575" t="str">
        <f>VLOOKUP($A199,'Pre-Assessment Estimator'!$A$10:$Z$225,V$2,FALSE)</f>
        <v>0 c. 0 %</v>
      </c>
      <c r="W199" s="574" t="str">
        <f>VLOOKUP($A199,'Pre-Assessment Estimator'!$A$10:$Z$225,W$2,FALSE)</f>
        <v>N/A</v>
      </c>
      <c r="X199" s="577" t="str">
        <f>IF(VLOOKUP($A199,'Pre-Assessment Estimator'!$A$10:$Z$225,X$2,FALSE)=0,"",VLOOKUP($A199,'Pre-Assessment Estimator'!$A$10:$Z$225,X$2,FALSE))</f>
        <v/>
      </c>
      <c r="Y199" s="577" t="str">
        <f>IF(VLOOKUP($A199,'Pre-Assessment Estimator'!$A$10:$Z$225,Y$2,FALSE)=0,"",VLOOKUP($A199,'Pre-Assessment Estimator'!$A$10:$Z$225,Y$2,FALSE))</f>
        <v/>
      </c>
      <c r="Z199" s="370" t="str">
        <f>IF(VLOOKUP($A199,'Pre-Assessment Estimator'!$A$10:$Z$225,Z$2,FALSE)=0,"",VLOOKUP($A199,'Pre-Assessment Estimator'!$A$10:$Z$225,Z$2,FALSE))</f>
        <v/>
      </c>
      <c r="AA199" s="696">
        <v>189</v>
      </c>
      <c r="AB199" s="577"/>
      <c r="AF199" s="386">
        <f t="shared" si="3"/>
        <v>1</v>
      </c>
    </row>
    <row r="200" spans="1:32" x14ac:dyDescent="0.25">
      <c r="A200" s="823">
        <v>191</v>
      </c>
      <c r="B200" s="1236" t="s">
        <v>72</v>
      </c>
      <c r="C200" s="1236"/>
      <c r="D200" s="1259" t="str">
        <f>VLOOKUP($A200,'Pre-Assessment Estimator'!$A$10:$Z$225,D$2,FALSE)</f>
        <v>POL 02</v>
      </c>
      <c r="E200" s="1259" t="str">
        <f>VLOOKUP($A200,'Pre-Assessment Estimator'!$A$10:$Z$225,E$2,FALSE)</f>
        <v>Non-combustion heating and hot water system</v>
      </c>
      <c r="F200" s="574">
        <f>VLOOKUP($A200,'Pre-Assessment Estimator'!$A$10:$Z$225,F$2,FALSE)</f>
        <v>2</v>
      </c>
      <c r="G200" s="580" t="str">
        <f>IF(VLOOKUP($A200,'Pre-Assessment Estimator'!$A$10:$Z$225,G$2,FALSE)=0,"",VLOOKUP($A200,'Pre-Assessment Estimator'!$A$10:$Z$225,G$2,FALSE))</f>
        <v/>
      </c>
      <c r="H200" s="1222">
        <f>VLOOKUP($A200,'Pre-Assessment Estimator'!$A$10:$Z$225,H$2,FALSE)</f>
        <v>0</v>
      </c>
      <c r="I200" s="576" t="str">
        <f>VLOOKUP($A200,'Pre-Assessment Estimator'!$A$10:$Z$225,I$2,FALSE)</f>
        <v>N/A</v>
      </c>
      <c r="J200" s="577" t="str">
        <f>IF(VLOOKUP($A200,'Pre-Assessment Estimator'!$A$10:$Z$225,J$2,FALSE)=0,"",VLOOKUP($A200,'Pre-Assessment Estimator'!$A$10:$Z$225,J$2,FALSE))</f>
        <v/>
      </c>
      <c r="K200" s="577" t="str">
        <f>IF(VLOOKUP($A200,'Pre-Assessment Estimator'!$A$10:$Z$225,K$2,FALSE)=0,"",VLOOKUP($A200,'Pre-Assessment Estimator'!$A$10:$Z$225,K$2,FALSE))</f>
        <v/>
      </c>
      <c r="L200" s="578" t="str">
        <f>IF(VLOOKUP($A200,'Pre-Assessment Estimator'!$A$10:$Z$225,L$2,FALSE)=0,"",VLOOKUP($A200,'Pre-Assessment Estimator'!$A$10:$Z$225,L$2,FALSE))</f>
        <v/>
      </c>
      <c r="M200" s="579"/>
      <c r="N200" s="580" t="str">
        <f>IF(VLOOKUP($A200,'Pre-Assessment Estimator'!$A$10:$Z$225,N$2,FALSE)=0,"",VLOOKUP($A200,'Pre-Assessment Estimator'!$A$10:$Z$225,N$2,FALSE))</f>
        <v/>
      </c>
      <c r="O200" s="575">
        <f>VLOOKUP($A200,'Pre-Assessment Estimator'!$A$10:$Z$225,O$2,FALSE)</f>
        <v>0</v>
      </c>
      <c r="P200" s="574" t="str">
        <f>VLOOKUP($A200,'Pre-Assessment Estimator'!$A$10:$Z$225,P$2,FALSE)</f>
        <v>N/A</v>
      </c>
      <c r="Q200" s="577" t="str">
        <f>IF(VLOOKUP($A200,'Pre-Assessment Estimator'!$A$10:$Z$225,Q$2,FALSE)=0,"",VLOOKUP($A200,'Pre-Assessment Estimator'!$A$10:$Z$225,Q$2,FALSE))</f>
        <v/>
      </c>
      <c r="R200" s="577" t="str">
        <f>IF(VLOOKUP($A200,'Pre-Assessment Estimator'!$A$10:$Z$225,R$2,FALSE)=0,"",VLOOKUP($A200,'Pre-Assessment Estimator'!$A$10:$Z$225,R$2,FALSE))</f>
        <v/>
      </c>
      <c r="S200" s="578" t="str">
        <f>IF(VLOOKUP($A200,'Pre-Assessment Estimator'!$A$10:$Z$225,S$2,FALSE)=0,"",VLOOKUP($A200,'Pre-Assessment Estimator'!$A$10:$Z$225,S$2,FALSE))</f>
        <v/>
      </c>
      <c r="T200" s="581"/>
      <c r="U200" s="580" t="str">
        <f>IF(VLOOKUP($A200,'Pre-Assessment Estimator'!$A$10:$Z$225,U$2,FALSE)=0,"",VLOOKUP($A200,'Pre-Assessment Estimator'!$A$10:$Z$225,U$2,FALSE))</f>
        <v/>
      </c>
      <c r="V200" s="575">
        <f>VLOOKUP($A200,'Pre-Assessment Estimator'!$A$10:$Z$225,V$2,FALSE)</f>
        <v>0</v>
      </c>
      <c r="W200" s="574" t="str">
        <f>VLOOKUP($A200,'Pre-Assessment Estimator'!$A$10:$Z$225,W$2,FALSE)</f>
        <v>N/A</v>
      </c>
      <c r="X200" s="577" t="str">
        <f>IF(VLOOKUP($A200,'Pre-Assessment Estimator'!$A$10:$Z$225,X$2,FALSE)=0,"",VLOOKUP($A200,'Pre-Assessment Estimator'!$A$10:$Z$225,X$2,FALSE))</f>
        <v/>
      </c>
      <c r="Y200" s="577" t="str">
        <f>IF(VLOOKUP($A200,'Pre-Assessment Estimator'!$A$10:$Z$225,Y$2,FALSE)=0,"",VLOOKUP($A200,'Pre-Assessment Estimator'!$A$10:$Z$225,Y$2,FALSE))</f>
        <v/>
      </c>
      <c r="Z200" s="370" t="str">
        <f>IF(VLOOKUP($A200,'Pre-Assessment Estimator'!$A$10:$Z$225,Z$2,FALSE)=0,"",VLOOKUP($A200,'Pre-Assessment Estimator'!$A$10:$Z$225,Z$2,FALSE))</f>
        <v/>
      </c>
      <c r="AA200" s="696">
        <v>190</v>
      </c>
      <c r="AB200" s="577"/>
      <c r="AF200" s="386">
        <f t="shared" si="3"/>
        <v>1</v>
      </c>
    </row>
    <row r="201" spans="1:32" x14ac:dyDescent="0.25">
      <c r="A201" s="823">
        <v>192</v>
      </c>
      <c r="B201" s="1236" t="s">
        <v>72</v>
      </c>
      <c r="C201" s="1236"/>
      <c r="D201" s="1259" t="str">
        <f>VLOOKUP($A201,'Pre-Assessment Estimator'!$A$10:$Z$225,D$2,FALSE)</f>
        <v>POL 02</v>
      </c>
      <c r="E201" s="1259" t="str">
        <f>VLOOKUP($A201,'Pre-Assessment Estimator'!$A$10:$Z$225,E$2,FALSE)</f>
        <v>Combustion-powered heating and hot water</v>
      </c>
      <c r="F201" s="574">
        <f>VLOOKUP($A201,'Pre-Assessment Estimator'!$A$10:$Z$225,F$2,FALSE)</f>
        <v>0</v>
      </c>
      <c r="G201" s="580" t="str">
        <f>IF(VLOOKUP($A201,'Pre-Assessment Estimator'!$A$10:$Z$225,G$2,FALSE)=0,"",VLOOKUP($A201,'Pre-Assessment Estimator'!$A$10:$Z$225,G$2,FALSE))</f>
        <v/>
      </c>
      <c r="H201" s="1222">
        <f>VLOOKUP($A201,'Pre-Assessment Estimator'!$A$10:$Z$225,H$2,FALSE)</f>
        <v>0</v>
      </c>
      <c r="I201" s="576" t="str">
        <f>VLOOKUP($A201,'Pre-Assessment Estimator'!$A$10:$Z$225,I$2,FALSE)</f>
        <v>N/A</v>
      </c>
      <c r="J201" s="577" t="str">
        <f>IF(VLOOKUP($A201,'Pre-Assessment Estimator'!$A$10:$Z$225,J$2,FALSE)=0,"",VLOOKUP($A201,'Pre-Assessment Estimator'!$A$10:$Z$225,J$2,FALSE))</f>
        <v/>
      </c>
      <c r="K201" s="577" t="str">
        <f>IF(VLOOKUP($A201,'Pre-Assessment Estimator'!$A$10:$Z$225,K$2,FALSE)=0,"",VLOOKUP($A201,'Pre-Assessment Estimator'!$A$10:$Z$225,K$2,FALSE))</f>
        <v/>
      </c>
      <c r="L201" s="578" t="str">
        <f>IF(VLOOKUP($A201,'Pre-Assessment Estimator'!$A$10:$Z$225,L$2,FALSE)=0,"",VLOOKUP($A201,'Pre-Assessment Estimator'!$A$10:$Z$225,L$2,FALSE))</f>
        <v/>
      </c>
      <c r="M201" s="579"/>
      <c r="N201" s="580" t="str">
        <f>IF(VLOOKUP($A201,'Pre-Assessment Estimator'!$A$10:$Z$225,N$2,FALSE)=0,"",VLOOKUP($A201,'Pre-Assessment Estimator'!$A$10:$Z$225,N$2,FALSE))</f>
        <v/>
      </c>
      <c r="O201" s="575">
        <f>VLOOKUP($A201,'Pre-Assessment Estimator'!$A$10:$Z$225,O$2,FALSE)</f>
        <v>0</v>
      </c>
      <c r="P201" s="574" t="str">
        <f>VLOOKUP($A201,'Pre-Assessment Estimator'!$A$10:$Z$225,P$2,FALSE)</f>
        <v>N/A</v>
      </c>
      <c r="Q201" s="577" t="str">
        <f>IF(VLOOKUP($A201,'Pre-Assessment Estimator'!$A$10:$Z$225,Q$2,FALSE)=0,"",VLOOKUP($A201,'Pre-Assessment Estimator'!$A$10:$Z$225,Q$2,FALSE))</f>
        <v/>
      </c>
      <c r="R201" s="577" t="str">
        <f>IF(VLOOKUP($A201,'Pre-Assessment Estimator'!$A$10:$Z$225,R$2,FALSE)=0,"",VLOOKUP($A201,'Pre-Assessment Estimator'!$A$10:$Z$225,R$2,FALSE))</f>
        <v/>
      </c>
      <c r="S201" s="578" t="str">
        <f>IF(VLOOKUP($A201,'Pre-Assessment Estimator'!$A$10:$Z$225,S$2,FALSE)=0,"",VLOOKUP($A201,'Pre-Assessment Estimator'!$A$10:$Z$225,S$2,FALSE))</f>
        <v/>
      </c>
      <c r="T201" s="581"/>
      <c r="U201" s="580" t="str">
        <f>IF(VLOOKUP($A201,'Pre-Assessment Estimator'!$A$10:$Z$225,U$2,FALSE)=0,"",VLOOKUP($A201,'Pre-Assessment Estimator'!$A$10:$Z$225,U$2,FALSE))</f>
        <v/>
      </c>
      <c r="V201" s="575">
        <f>VLOOKUP($A201,'Pre-Assessment Estimator'!$A$10:$Z$225,V$2,FALSE)</f>
        <v>0</v>
      </c>
      <c r="W201" s="574" t="str">
        <f>VLOOKUP($A201,'Pre-Assessment Estimator'!$A$10:$Z$225,W$2,FALSE)</f>
        <v>N/A</v>
      </c>
      <c r="X201" s="577" t="str">
        <f>IF(VLOOKUP($A201,'Pre-Assessment Estimator'!$A$10:$Z$225,X$2,FALSE)=0,"",VLOOKUP($A201,'Pre-Assessment Estimator'!$A$10:$Z$225,X$2,FALSE))</f>
        <v/>
      </c>
      <c r="Y201" s="577" t="str">
        <f>IF(VLOOKUP($A201,'Pre-Assessment Estimator'!$A$10:$Z$225,Y$2,FALSE)=0,"",VLOOKUP($A201,'Pre-Assessment Estimator'!$A$10:$Z$225,Y$2,FALSE))</f>
        <v/>
      </c>
      <c r="Z201" s="370" t="str">
        <f>IF(VLOOKUP($A201,'Pre-Assessment Estimator'!$A$10:$Z$225,Z$2,FALSE)=0,"",VLOOKUP($A201,'Pre-Assessment Estimator'!$A$10:$Z$225,Z$2,FALSE))</f>
        <v/>
      </c>
      <c r="AA201" s="696">
        <v>191</v>
      </c>
      <c r="AB201" s="577"/>
      <c r="AF201" s="386">
        <f t="shared" si="3"/>
        <v>2</v>
      </c>
    </row>
    <row r="202" spans="1:32" x14ac:dyDescent="0.25">
      <c r="A202" s="823">
        <v>193</v>
      </c>
      <c r="B202" s="1236" t="s">
        <v>72</v>
      </c>
      <c r="C202" s="1236"/>
      <c r="D202" s="1258" t="str">
        <f>VLOOKUP($A202,'Pre-Assessment Estimator'!$A$10:$Z$225,D$2,FALSE)</f>
        <v>POL 04</v>
      </c>
      <c r="E202" s="1258" t="str">
        <f>VLOOKUP($A202,'Pre-Assessment Estimator'!$A$10:$Z$225,E$2,FALSE)</f>
        <v>POL 04 Reduction of night time light pollution</v>
      </c>
      <c r="F202" s="574">
        <f>VLOOKUP($A202,'Pre-Assessment Estimator'!$A$10:$Z$225,F$2,FALSE)</f>
        <v>1</v>
      </c>
      <c r="G202" s="580" t="str">
        <f>IF(VLOOKUP($A202,'Pre-Assessment Estimator'!$A$10:$Z$225,G$2,FALSE)=0,"",VLOOKUP($A202,'Pre-Assessment Estimator'!$A$10:$Z$225,G$2,FALSE))</f>
        <v/>
      </c>
      <c r="H202" s="1222" t="str">
        <f>VLOOKUP($A202,'Pre-Assessment Estimator'!$A$10:$Z$225,H$2,FALSE)</f>
        <v>0 c. 0 %</v>
      </c>
      <c r="I202" s="576" t="str">
        <f>VLOOKUP($A202,'Pre-Assessment Estimator'!$A$10:$Z$225,I$2,FALSE)</f>
        <v>N/A</v>
      </c>
      <c r="J202" s="577" t="str">
        <f>IF(VLOOKUP($A202,'Pre-Assessment Estimator'!$A$10:$Z$225,J$2,FALSE)=0,"",VLOOKUP($A202,'Pre-Assessment Estimator'!$A$10:$Z$225,J$2,FALSE))</f>
        <v/>
      </c>
      <c r="K202" s="577" t="str">
        <f>IF(VLOOKUP($A202,'Pre-Assessment Estimator'!$A$10:$Z$225,K$2,FALSE)=0,"",VLOOKUP($A202,'Pre-Assessment Estimator'!$A$10:$Z$225,K$2,FALSE))</f>
        <v/>
      </c>
      <c r="L202" s="578" t="str">
        <f>IF(VLOOKUP($A202,'Pre-Assessment Estimator'!$A$10:$Z$225,L$2,FALSE)=0,"",VLOOKUP($A202,'Pre-Assessment Estimator'!$A$10:$Z$225,L$2,FALSE))</f>
        <v/>
      </c>
      <c r="M202" s="579"/>
      <c r="N202" s="580" t="str">
        <f>IF(VLOOKUP($A202,'Pre-Assessment Estimator'!$A$10:$Z$225,N$2,FALSE)=0,"",VLOOKUP($A202,'Pre-Assessment Estimator'!$A$10:$Z$225,N$2,FALSE))</f>
        <v/>
      </c>
      <c r="O202" s="575" t="str">
        <f>VLOOKUP($A202,'Pre-Assessment Estimator'!$A$10:$Z$225,O$2,FALSE)</f>
        <v>0 c. 0 %</v>
      </c>
      <c r="P202" s="574" t="str">
        <f>VLOOKUP($A202,'Pre-Assessment Estimator'!$A$10:$Z$225,P$2,FALSE)</f>
        <v>N/A</v>
      </c>
      <c r="Q202" s="577" t="str">
        <f>IF(VLOOKUP($A202,'Pre-Assessment Estimator'!$A$10:$Z$225,Q$2,FALSE)=0,"",VLOOKUP($A202,'Pre-Assessment Estimator'!$A$10:$Z$225,Q$2,FALSE))</f>
        <v/>
      </c>
      <c r="R202" s="577" t="str">
        <f>IF(VLOOKUP($A202,'Pre-Assessment Estimator'!$A$10:$Z$225,R$2,FALSE)=0,"",VLOOKUP($A202,'Pre-Assessment Estimator'!$A$10:$Z$225,R$2,FALSE))</f>
        <v/>
      </c>
      <c r="S202" s="578" t="str">
        <f>IF(VLOOKUP($A202,'Pre-Assessment Estimator'!$A$10:$Z$225,S$2,FALSE)=0,"",VLOOKUP($A202,'Pre-Assessment Estimator'!$A$10:$Z$225,S$2,FALSE))</f>
        <v/>
      </c>
      <c r="T202" s="581"/>
      <c r="U202" s="580" t="str">
        <f>IF(VLOOKUP($A202,'Pre-Assessment Estimator'!$A$10:$Z$225,U$2,FALSE)=0,"",VLOOKUP($A202,'Pre-Assessment Estimator'!$A$10:$Z$225,U$2,FALSE))</f>
        <v/>
      </c>
      <c r="V202" s="575" t="str">
        <f>VLOOKUP($A202,'Pre-Assessment Estimator'!$A$10:$Z$225,V$2,FALSE)</f>
        <v>0 c. 0 %</v>
      </c>
      <c r="W202" s="574" t="str">
        <f>VLOOKUP($A202,'Pre-Assessment Estimator'!$A$10:$Z$225,W$2,FALSE)</f>
        <v>N/A</v>
      </c>
      <c r="X202" s="577" t="str">
        <f>IF(VLOOKUP($A202,'Pre-Assessment Estimator'!$A$10:$Z$225,X$2,FALSE)=0,"",VLOOKUP($A202,'Pre-Assessment Estimator'!$A$10:$Z$225,X$2,FALSE))</f>
        <v/>
      </c>
      <c r="Y202" s="577" t="str">
        <f>IF(VLOOKUP($A202,'Pre-Assessment Estimator'!$A$10:$Z$225,Y$2,FALSE)=0,"",VLOOKUP($A202,'Pre-Assessment Estimator'!$A$10:$Z$225,Y$2,FALSE))</f>
        <v/>
      </c>
      <c r="Z202" s="370" t="str">
        <f>IF(VLOOKUP($A202,'Pre-Assessment Estimator'!$A$10:$Z$225,Z$2,FALSE)=0,"",VLOOKUP($A202,'Pre-Assessment Estimator'!$A$10:$Z$225,Z$2,FALSE))</f>
        <v/>
      </c>
      <c r="AA202" s="696">
        <v>192</v>
      </c>
      <c r="AB202" s="577"/>
      <c r="AF202" s="386">
        <f t="shared" si="3"/>
        <v>1</v>
      </c>
    </row>
    <row r="203" spans="1:32" x14ac:dyDescent="0.25">
      <c r="A203" s="823">
        <v>194</v>
      </c>
      <c r="B203" s="1236" t="s">
        <v>72</v>
      </c>
      <c r="C203" s="1236"/>
      <c r="D203" s="1259" t="str">
        <f>VLOOKUP($A203,'Pre-Assessment Estimator'!$A$10:$Z$225,D$2,FALSE)</f>
        <v>POL 04</v>
      </c>
      <c r="E203" s="1259" t="str">
        <f>VLOOKUP($A203,'Pre-Assessment Estimator'!$A$10:$Z$225,E$2,FALSE)</f>
        <v xml:space="preserve">No external lighting pollution </v>
      </c>
      <c r="F203" s="574">
        <f>VLOOKUP($A203,'Pre-Assessment Estimator'!$A$10:$Z$225,F$2,FALSE)</f>
        <v>1</v>
      </c>
      <c r="G203" s="580" t="str">
        <f>IF(VLOOKUP($A203,'Pre-Assessment Estimator'!$A$10:$Z$225,G$2,FALSE)=0,"",VLOOKUP($A203,'Pre-Assessment Estimator'!$A$10:$Z$225,G$2,FALSE))</f>
        <v/>
      </c>
      <c r="H203" s="1222">
        <f>VLOOKUP($A203,'Pre-Assessment Estimator'!$A$10:$Z$225,H$2,FALSE)</f>
        <v>0</v>
      </c>
      <c r="I203" s="576" t="str">
        <f>VLOOKUP($A203,'Pre-Assessment Estimator'!$A$10:$Z$225,I$2,FALSE)</f>
        <v>N/A</v>
      </c>
      <c r="J203" s="577" t="str">
        <f>IF(VLOOKUP($A203,'Pre-Assessment Estimator'!$A$10:$Z$225,J$2,FALSE)=0,"",VLOOKUP($A203,'Pre-Assessment Estimator'!$A$10:$Z$225,J$2,FALSE))</f>
        <v/>
      </c>
      <c r="K203" s="577" t="str">
        <f>IF(VLOOKUP($A203,'Pre-Assessment Estimator'!$A$10:$Z$225,K$2,FALSE)=0,"",VLOOKUP($A203,'Pre-Assessment Estimator'!$A$10:$Z$225,K$2,FALSE))</f>
        <v/>
      </c>
      <c r="L203" s="578" t="str">
        <f>IF(VLOOKUP($A203,'Pre-Assessment Estimator'!$A$10:$Z$225,L$2,FALSE)=0,"",VLOOKUP($A203,'Pre-Assessment Estimator'!$A$10:$Z$225,L$2,FALSE))</f>
        <v/>
      </c>
      <c r="M203" s="579"/>
      <c r="N203" s="580" t="str">
        <f>IF(VLOOKUP($A203,'Pre-Assessment Estimator'!$A$10:$Z$225,N$2,FALSE)=0,"",VLOOKUP($A203,'Pre-Assessment Estimator'!$A$10:$Z$225,N$2,FALSE))</f>
        <v/>
      </c>
      <c r="O203" s="575">
        <f>VLOOKUP($A203,'Pre-Assessment Estimator'!$A$10:$Z$225,O$2,FALSE)</f>
        <v>0</v>
      </c>
      <c r="P203" s="574" t="str">
        <f>VLOOKUP($A203,'Pre-Assessment Estimator'!$A$10:$Z$225,P$2,FALSE)</f>
        <v>N/A</v>
      </c>
      <c r="Q203" s="577" t="str">
        <f>IF(VLOOKUP($A203,'Pre-Assessment Estimator'!$A$10:$Z$225,Q$2,FALSE)=0,"",VLOOKUP($A203,'Pre-Assessment Estimator'!$A$10:$Z$225,Q$2,FALSE))</f>
        <v/>
      </c>
      <c r="R203" s="577" t="str">
        <f>IF(VLOOKUP($A203,'Pre-Assessment Estimator'!$A$10:$Z$225,R$2,FALSE)=0,"",VLOOKUP($A203,'Pre-Assessment Estimator'!$A$10:$Z$225,R$2,FALSE))</f>
        <v/>
      </c>
      <c r="S203" s="578" t="str">
        <f>IF(VLOOKUP($A203,'Pre-Assessment Estimator'!$A$10:$Z$225,S$2,FALSE)=0,"",VLOOKUP($A203,'Pre-Assessment Estimator'!$A$10:$Z$225,S$2,FALSE))</f>
        <v/>
      </c>
      <c r="T203" s="581"/>
      <c r="U203" s="580" t="str">
        <f>IF(VLOOKUP($A203,'Pre-Assessment Estimator'!$A$10:$Z$225,U$2,FALSE)=0,"",VLOOKUP($A203,'Pre-Assessment Estimator'!$A$10:$Z$225,U$2,FALSE))</f>
        <v/>
      </c>
      <c r="V203" s="575">
        <f>VLOOKUP($A203,'Pre-Assessment Estimator'!$A$10:$Z$225,V$2,FALSE)</f>
        <v>0</v>
      </c>
      <c r="W203" s="574" t="str">
        <f>VLOOKUP($A203,'Pre-Assessment Estimator'!$A$10:$Z$225,W$2,FALSE)</f>
        <v>N/A</v>
      </c>
      <c r="X203" s="577" t="str">
        <f>IF(VLOOKUP($A203,'Pre-Assessment Estimator'!$A$10:$Z$225,X$2,FALSE)=0,"",VLOOKUP($A203,'Pre-Assessment Estimator'!$A$10:$Z$225,X$2,FALSE))</f>
        <v/>
      </c>
      <c r="Y203" s="577" t="str">
        <f>IF(VLOOKUP($A203,'Pre-Assessment Estimator'!$A$10:$Z$225,Y$2,FALSE)=0,"",VLOOKUP($A203,'Pre-Assessment Estimator'!$A$10:$Z$225,Y$2,FALSE))</f>
        <v/>
      </c>
      <c r="Z203" s="370" t="str">
        <f>IF(VLOOKUP($A203,'Pre-Assessment Estimator'!$A$10:$Z$225,Z$2,FALSE)=0,"",VLOOKUP($A203,'Pre-Assessment Estimator'!$A$10:$Z$225,Z$2,FALSE))</f>
        <v/>
      </c>
      <c r="AA203" s="696">
        <v>193</v>
      </c>
      <c r="AB203" s="577"/>
      <c r="AF203" s="386">
        <f t="shared" si="3"/>
        <v>1</v>
      </c>
    </row>
    <row r="204" spans="1:32" x14ac:dyDescent="0.25">
      <c r="A204" s="823">
        <v>195</v>
      </c>
      <c r="B204" s="1236" t="s">
        <v>72</v>
      </c>
      <c r="C204" s="1236"/>
      <c r="D204" s="1259" t="str">
        <f>VLOOKUP($A204,'Pre-Assessment Estimator'!$A$10:$Z$225,D$2,FALSE)</f>
        <v>POL 04</v>
      </c>
      <c r="E204" s="1259" t="str">
        <f>VLOOKUP($A204,'Pre-Assessment Estimator'!$A$10:$Z$225,E$2,FALSE)</f>
        <v>Minimizing external light pollution</v>
      </c>
      <c r="F204" s="574">
        <f>VLOOKUP($A204,'Pre-Assessment Estimator'!$A$10:$Z$225,F$2,FALSE)</f>
        <v>0</v>
      </c>
      <c r="G204" s="580" t="str">
        <f>IF(VLOOKUP($A204,'Pre-Assessment Estimator'!$A$10:$Z$225,G$2,FALSE)=0,"",VLOOKUP($A204,'Pre-Assessment Estimator'!$A$10:$Z$225,G$2,FALSE))</f>
        <v/>
      </c>
      <c r="H204" s="1222">
        <f>VLOOKUP($A204,'Pre-Assessment Estimator'!$A$10:$Z$225,H$2,FALSE)</f>
        <v>0</v>
      </c>
      <c r="I204" s="576" t="str">
        <f>VLOOKUP($A204,'Pre-Assessment Estimator'!$A$10:$Z$225,I$2,FALSE)</f>
        <v>N/A</v>
      </c>
      <c r="J204" s="577" t="str">
        <f>IF(VLOOKUP($A204,'Pre-Assessment Estimator'!$A$10:$Z$225,J$2,FALSE)=0,"",VLOOKUP($A204,'Pre-Assessment Estimator'!$A$10:$Z$225,J$2,FALSE))</f>
        <v/>
      </c>
      <c r="K204" s="577" t="str">
        <f>IF(VLOOKUP($A204,'Pre-Assessment Estimator'!$A$10:$Z$225,K$2,FALSE)=0,"",VLOOKUP($A204,'Pre-Assessment Estimator'!$A$10:$Z$225,K$2,FALSE))</f>
        <v/>
      </c>
      <c r="L204" s="578" t="str">
        <f>IF(VLOOKUP($A204,'Pre-Assessment Estimator'!$A$10:$Z$225,L$2,FALSE)=0,"",VLOOKUP($A204,'Pre-Assessment Estimator'!$A$10:$Z$225,L$2,FALSE))</f>
        <v/>
      </c>
      <c r="M204" s="579"/>
      <c r="N204" s="580" t="str">
        <f>IF(VLOOKUP($A204,'Pre-Assessment Estimator'!$A$10:$Z$225,N$2,FALSE)=0,"",VLOOKUP($A204,'Pre-Assessment Estimator'!$A$10:$Z$225,N$2,FALSE))</f>
        <v/>
      </c>
      <c r="O204" s="575">
        <f>VLOOKUP($A204,'Pre-Assessment Estimator'!$A$10:$Z$225,O$2,FALSE)</f>
        <v>0</v>
      </c>
      <c r="P204" s="574" t="str">
        <f>VLOOKUP($A204,'Pre-Assessment Estimator'!$A$10:$Z$225,P$2,FALSE)</f>
        <v>N/A</v>
      </c>
      <c r="Q204" s="577" t="str">
        <f>IF(VLOOKUP($A204,'Pre-Assessment Estimator'!$A$10:$Z$225,Q$2,FALSE)=0,"",VLOOKUP($A204,'Pre-Assessment Estimator'!$A$10:$Z$225,Q$2,FALSE))</f>
        <v/>
      </c>
      <c r="R204" s="577" t="str">
        <f>IF(VLOOKUP($A204,'Pre-Assessment Estimator'!$A$10:$Z$225,R$2,FALSE)=0,"",VLOOKUP($A204,'Pre-Assessment Estimator'!$A$10:$Z$225,R$2,FALSE))</f>
        <v/>
      </c>
      <c r="S204" s="578" t="str">
        <f>IF(VLOOKUP($A204,'Pre-Assessment Estimator'!$A$10:$Z$225,S$2,FALSE)=0,"",VLOOKUP($A204,'Pre-Assessment Estimator'!$A$10:$Z$225,S$2,FALSE))</f>
        <v/>
      </c>
      <c r="T204" s="581"/>
      <c r="U204" s="580" t="str">
        <f>IF(VLOOKUP($A204,'Pre-Assessment Estimator'!$A$10:$Z$225,U$2,FALSE)=0,"",VLOOKUP($A204,'Pre-Assessment Estimator'!$A$10:$Z$225,U$2,FALSE))</f>
        <v/>
      </c>
      <c r="V204" s="575">
        <f>VLOOKUP($A204,'Pre-Assessment Estimator'!$A$10:$Z$225,V$2,FALSE)</f>
        <v>0</v>
      </c>
      <c r="W204" s="574" t="str">
        <f>VLOOKUP($A204,'Pre-Assessment Estimator'!$A$10:$Z$225,W$2,FALSE)</f>
        <v>N/A</v>
      </c>
      <c r="X204" s="577" t="str">
        <f>IF(VLOOKUP($A204,'Pre-Assessment Estimator'!$A$10:$Z$225,X$2,FALSE)=0,"",VLOOKUP($A204,'Pre-Assessment Estimator'!$A$10:$Z$225,X$2,FALSE))</f>
        <v/>
      </c>
      <c r="Y204" s="577" t="str">
        <f>IF(VLOOKUP($A204,'Pre-Assessment Estimator'!$A$10:$Z$225,Y$2,FALSE)=0,"",VLOOKUP($A204,'Pre-Assessment Estimator'!$A$10:$Z$225,Y$2,FALSE))</f>
        <v/>
      </c>
      <c r="Z204" s="370" t="str">
        <f>IF(VLOOKUP($A204,'Pre-Assessment Estimator'!$A$10:$Z$225,Z$2,FALSE)=0,"",VLOOKUP($A204,'Pre-Assessment Estimator'!$A$10:$Z$225,Z$2,FALSE))</f>
        <v/>
      </c>
      <c r="AA204" s="696">
        <v>194</v>
      </c>
      <c r="AB204" s="577"/>
      <c r="AF204" s="386">
        <f t="shared" si="3"/>
        <v>2</v>
      </c>
    </row>
    <row r="205" spans="1:32" x14ac:dyDescent="0.25">
      <c r="A205" s="823">
        <v>196</v>
      </c>
      <c r="B205" s="1236" t="s">
        <v>72</v>
      </c>
      <c r="C205" s="1236"/>
      <c r="D205" s="1258" t="str">
        <f>VLOOKUP($A205,'Pre-Assessment Estimator'!$A$10:$Z$225,D$2,FALSE)</f>
        <v>POL 05</v>
      </c>
      <c r="E205" s="1258" t="str">
        <f>VLOOKUP($A205,'Pre-Assessment Estimator'!$A$10:$Z$225,E$2,FALSE)</f>
        <v>POL 05 Reduction of noise pollution</v>
      </c>
      <c r="F205" s="574">
        <f>VLOOKUP($A205,'Pre-Assessment Estimator'!$A$10:$Z$225,F$2,FALSE)</f>
        <v>1</v>
      </c>
      <c r="G205" s="580" t="str">
        <f>IF(VLOOKUP($A205,'Pre-Assessment Estimator'!$A$10:$Z$225,G$2,FALSE)=0,"",VLOOKUP($A205,'Pre-Assessment Estimator'!$A$10:$Z$225,G$2,FALSE))</f>
        <v/>
      </c>
      <c r="H205" s="1222" t="str">
        <f>VLOOKUP($A205,'Pre-Assessment Estimator'!$A$10:$Z$225,H$2,FALSE)</f>
        <v>0 c. 0 %</v>
      </c>
      <c r="I205" s="576" t="str">
        <f>VLOOKUP($A205,'Pre-Assessment Estimator'!$A$10:$Z$225,I$2,FALSE)</f>
        <v>N/A</v>
      </c>
      <c r="J205" s="577" t="str">
        <f>IF(VLOOKUP($A205,'Pre-Assessment Estimator'!$A$10:$Z$225,J$2,FALSE)=0,"",VLOOKUP($A205,'Pre-Assessment Estimator'!$A$10:$Z$225,J$2,FALSE))</f>
        <v/>
      </c>
      <c r="K205" s="577" t="str">
        <f>IF(VLOOKUP($A205,'Pre-Assessment Estimator'!$A$10:$Z$225,K$2,FALSE)=0,"",VLOOKUP($A205,'Pre-Assessment Estimator'!$A$10:$Z$225,K$2,FALSE))</f>
        <v/>
      </c>
      <c r="L205" s="578" t="str">
        <f>IF(VLOOKUP($A205,'Pre-Assessment Estimator'!$A$10:$Z$225,L$2,FALSE)=0,"",VLOOKUP($A205,'Pre-Assessment Estimator'!$A$10:$Z$225,L$2,FALSE))</f>
        <v/>
      </c>
      <c r="M205" s="579"/>
      <c r="N205" s="580" t="str">
        <f>IF(VLOOKUP($A205,'Pre-Assessment Estimator'!$A$10:$Z$225,N$2,FALSE)=0,"",VLOOKUP($A205,'Pre-Assessment Estimator'!$A$10:$Z$225,N$2,FALSE))</f>
        <v/>
      </c>
      <c r="O205" s="575" t="str">
        <f>VLOOKUP($A205,'Pre-Assessment Estimator'!$A$10:$Z$225,O$2,FALSE)</f>
        <v>0 c. 0 %</v>
      </c>
      <c r="P205" s="574" t="str">
        <f>VLOOKUP($A205,'Pre-Assessment Estimator'!$A$10:$Z$225,P$2,FALSE)</f>
        <v>N/A</v>
      </c>
      <c r="Q205" s="577" t="str">
        <f>IF(VLOOKUP($A205,'Pre-Assessment Estimator'!$A$10:$Z$225,Q$2,FALSE)=0,"",VLOOKUP($A205,'Pre-Assessment Estimator'!$A$10:$Z$225,Q$2,FALSE))</f>
        <v/>
      </c>
      <c r="R205" s="577" t="str">
        <f>IF(VLOOKUP($A205,'Pre-Assessment Estimator'!$A$10:$Z$225,R$2,FALSE)=0,"",VLOOKUP($A205,'Pre-Assessment Estimator'!$A$10:$Z$225,R$2,FALSE))</f>
        <v/>
      </c>
      <c r="S205" s="578" t="str">
        <f>IF(VLOOKUP($A205,'Pre-Assessment Estimator'!$A$10:$Z$225,S$2,FALSE)=0,"",VLOOKUP($A205,'Pre-Assessment Estimator'!$A$10:$Z$225,S$2,FALSE))</f>
        <v/>
      </c>
      <c r="T205" s="581"/>
      <c r="U205" s="580" t="str">
        <f>IF(VLOOKUP($A205,'Pre-Assessment Estimator'!$A$10:$Z$225,U$2,FALSE)=0,"",VLOOKUP($A205,'Pre-Assessment Estimator'!$A$10:$Z$225,U$2,FALSE))</f>
        <v/>
      </c>
      <c r="V205" s="575" t="str">
        <f>VLOOKUP($A205,'Pre-Assessment Estimator'!$A$10:$Z$225,V$2,FALSE)</f>
        <v>0 c. 0 %</v>
      </c>
      <c r="W205" s="574" t="str">
        <f>VLOOKUP($A205,'Pre-Assessment Estimator'!$A$10:$Z$225,W$2,FALSE)</f>
        <v>N/A</v>
      </c>
      <c r="X205" s="577" t="str">
        <f>IF(VLOOKUP($A205,'Pre-Assessment Estimator'!$A$10:$Z$225,X$2,FALSE)=0,"",VLOOKUP($A205,'Pre-Assessment Estimator'!$A$10:$Z$225,X$2,FALSE))</f>
        <v/>
      </c>
      <c r="Y205" s="577" t="str">
        <f>IF(VLOOKUP($A205,'Pre-Assessment Estimator'!$A$10:$Z$225,Y$2,FALSE)=0,"",VLOOKUP($A205,'Pre-Assessment Estimator'!$A$10:$Z$225,Y$2,FALSE))</f>
        <v/>
      </c>
      <c r="Z205" s="370" t="str">
        <f>IF(VLOOKUP($A205,'Pre-Assessment Estimator'!$A$10:$Z$225,Z$2,FALSE)=0,"",VLOOKUP($A205,'Pre-Assessment Estimator'!$A$10:$Z$225,Z$2,FALSE))</f>
        <v/>
      </c>
      <c r="AA205" s="696">
        <v>195</v>
      </c>
      <c r="AB205" s="577" t="str">
        <f>IF(VLOOKUP($A205,'Pre-Assessment Estimator'!$A$10:$AB$225,AB$2,FALSE)=0,"",VLOOKUP($A205,'Pre-Assessment Estimator'!$A$10:$AB$225,AB$2,FALSE))</f>
        <v/>
      </c>
      <c r="AF205" s="386">
        <f t="shared" si="3"/>
        <v>1</v>
      </c>
    </row>
    <row r="206" spans="1:32" x14ac:dyDescent="0.25">
      <c r="A206" s="823">
        <v>197</v>
      </c>
      <c r="B206" s="1236" t="s">
        <v>72</v>
      </c>
      <c r="C206" s="1236"/>
      <c r="D206" s="1259" t="str">
        <f>VLOOKUP($A206,'Pre-Assessment Estimator'!$A$10:$Z$225,D$2,FALSE)</f>
        <v>POL 05</v>
      </c>
      <c r="E206" s="1259" t="str">
        <f>VLOOKUP($A206,'Pre-Assessment Estimator'!$A$10:$Z$225,E$2,FALSE)</f>
        <v>No noise-sensitive areas</v>
      </c>
      <c r="F206" s="574">
        <f>VLOOKUP($A206,'Pre-Assessment Estimator'!$A$10:$Z$225,F$2,FALSE)</f>
        <v>1</v>
      </c>
      <c r="G206" s="580" t="str">
        <f>IF(VLOOKUP($A206,'Pre-Assessment Estimator'!$A$10:$Z$225,G$2,FALSE)=0,"",VLOOKUP($A206,'Pre-Assessment Estimator'!$A$10:$Z$225,G$2,FALSE))</f>
        <v/>
      </c>
      <c r="H206" s="1222">
        <f>VLOOKUP($A206,'Pre-Assessment Estimator'!$A$10:$Z$225,H$2,FALSE)</f>
        <v>0</v>
      </c>
      <c r="I206" s="576" t="str">
        <f>VLOOKUP($A206,'Pre-Assessment Estimator'!$A$10:$Z$225,I$2,FALSE)</f>
        <v>N/A</v>
      </c>
      <c r="J206" s="577" t="str">
        <f>IF(VLOOKUP($A206,'Pre-Assessment Estimator'!$A$10:$Z$225,J$2,FALSE)=0,"",VLOOKUP($A206,'Pre-Assessment Estimator'!$A$10:$Z$225,J$2,FALSE))</f>
        <v/>
      </c>
      <c r="K206" s="577" t="str">
        <f>IF(VLOOKUP($A206,'Pre-Assessment Estimator'!$A$10:$Z$225,K$2,FALSE)=0,"",VLOOKUP($A206,'Pre-Assessment Estimator'!$A$10:$Z$225,K$2,FALSE))</f>
        <v/>
      </c>
      <c r="L206" s="578" t="str">
        <f>IF(VLOOKUP($A206,'Pre-Assessment Estimator'!$A$10:$Z$225,L$2,FALSE)=0,"",VLOOKUP($A206,'Pre-Assessment Estimator'!$A$10:$Z$225,L$2,FALSE))</f>
        <v/>
      </c>
      <c r="M206" s="579"/>
      <c r="N206" s="580" t="str">
        <f>IF(VLOOKUP($A206,'Pre-Assessment Estimator'!$A$10:$Z$225,N$2,FALSE)=0,"",VLOOKUP($A206,'Pre-Assessment Estimator'!$A$10:$Z$225,N$2,FALSE))</f>
        <v/>
      </c>
      <c r="O206" s="575">
        <f>VLOOKUP($A206,'Pre-Assessment Estimator'!$A$10:$Z$225,O$2,FALSE)</f>
        <v>0</v>
      </c>
      <c r="P206" s="574" t="str">
        <f>VLOOKUP($A206,'Pre-Assessment Estimator'!$A$10:$Z$225,P$2,FALSE)</f>
        <v>N/A</v>
      </c>
      <c r="Q206" s="577" t="str">
        <f>IF(VLOOKUP($A206,'Pre-Assessment Estimator'!$A$10:$Z$225,Q$2,FALSE)=0,"",VLOOKUP($A206,'Pre-Assessment Estimator'!$A$10:$Z$225,Q$2,FALSE))</f>
        <v/>
      </c>
      <c r="R206" s="577" t="str">
        <f>IF(VLOOKUP($A206,'Pre-Assessment Estimator'!$A$10:$Z$225,R$2,FALSE)=0,"",VLOOKUP($A206,'Pre-Assessment Estimator'!$A$10:$Z$225,R$2,FALSE))</f>
        <v/>
      </c>
      <c r="S206" s="578" t="str">
        <f>IF(VLOOKUP($A206,'Pre-Assessment Estimator'!$A$10:$Z$225,S$2,FALSE)=0,"",VLOOKUP($A206,'Pre-Assessment Estimator'!$A$10:$Z$225,S$2,FALSE))</f>
        <v/>
      </c>
      <c r="T206" s="581"/>
      <c r="U206" s="580" t="str">
        <f>IF(VLOOKUP($A206,'Pre-Assessment Estimator'!$A$10:$Z$225,U$2,FALSE)=0,"",VLOOKUP($A206,'Pre-Assessment Estimator'!$A$10:$Z$225,U$2,FALSE))</f>
        <v/>
      </c>
      <c r="V206" s="575">
        <f>VLOOKUP($A206,'Pre-Assessment Estimator'!$A$10:$Z$225,V$2,FALSE)</f>
        <v>0</v>
      </c>
      <c r="W206" s="574" t="str">
        <f>VLOOKUP($A206,'Pre-Assessment Estimator'!$A$10:$Z$225,W$2,FALSE)</f>
        <v>N/A</v>
      </c>
      <c r="X206" s="577" t="str">
        <f>IF(VLOOKUP($A206,'Pre-Assessment Estimator'!$A$10:$Z$225,X$2,FALSE)=0,"",VLOOKUP($A206,'Pre-Assessment Estimator'!$A$10:$Z$225,X$2,FALSE))</f>
        <v/>
      </c>
      <c r="Y206" s="577" t="str">
        <f>IF(VLOOKUP($A206,'Pre-Assessment Estimator'!$A$10:$Z$225,Y$2,FALSE)=0,"",VLOOKUP($A206,'Pre-Assessment Estimator'!$A$10:$Z$225,Y$2,FALSE))</f>
        <v/>
      </c>
      <c r="Z206" s="370" t="str">
        <f>IF(VLOOKUP($A206,'Pre-Assessment Estimator'!$A$10:$Z$225,Z$2,FALSE)=0,"",VLOOKUP($A206,'Pre-Assessment Estimator'!$A$10:$Z$225,Z$2,FALSE))</f>
        <v/>
      </c>
      <c r="AA206" s="696">
        <v>196</v>
      </c>
      <c r="AB206" s="585"/>
      <c r="AC206" s="389"/>
      <c r="AD206" s="389"/>
      <c r="AE206" s="389"/>
      <c r="AF206" s="386">
        <f t="shared" si="3"/>
        <v>1</v>
      </c>
    </row>
    <row r="207" spans="1:32" x14ac:dyDescent="0.25">
      <c r="A207" s="823">
        <v>198</v>
      </c>
      <c r="B207" s="1236" t="s">
        <v>218</v>
      </c>
      <c r="C207" s="1236"/>
      <c r="D207" s="1259" t="str">
        <f>VLOOKUP($A207,'Pre-Assessment Estimator'!$A$10:$Z$225,D$2,FALSE)</f>
        <v>POL 05</v>
      </c>
      <c r="E207" s="1259" t="str">
        <f>VLOOKUP($A207,'Pre-Assessment Estimator'!$A$10:$Z$225,E$2,FALSE)</f>
        <v>Minimizing noise pollution in noise-sensitive areas</v>
      </c>
      <c r="F207" s="574">
        <f>VLOOKUP($A207,'Pre-Assessment Estimator'!$A$10:$Z$225,F$2,FALSE)</f>
        <v>0</v>
      </c>
      <c r="G207" s="580" t="str">
        <f>IF(VLOOKUP($A207,'Pre-Assessment Estimator'!$A$10:$Z$225,G$2,FALSE)=0,"",VLOOKUP($A207,'Pre-Assessment Estimator'!$A$10:$Z$225,G$2,FALSE))</f>
        <v/>
      </c>
      <c r="H207" s="1222">
        <f>VLOOKUP($A207,'Pre-Assessment Estimator'!$A$10:$Z$225,H$2,FALSE)</f>
        <v>0</v>
      </c>
      <c r="I207" s="576" t="str">
        <f>VLOOKUP($A207,'Pre-Assessment Estimator'!$A$10:$Z$225,I$2,FALSE)</f>
        <v>N/A</v>
      </c>
      <c r="J207" s="577" t="str">
        <f>IF(VLOOKUP($A207,'Pre-Assessment Estimator'!$A$10:$Z$225,J$2,FALSE)=0,"",VLOOKUP($A207,'Pre-Assessment Estimator'!$A$10:$Z$225,J$2,FALSE))</f>
        <v/>
      </c>
      <c r="K207" s="577" t="str">
        <f>IF(VLOOKUP($A207,'Pre-Assessment Estimator'!$A$10:$Z$225,K$2,FALSE)=0,"",VLOOKUP($A207,'Pre-Assessment Estimator'!$A$10:$Z$225,K$2,FALSE))</f>
        <v/>
      </c>
      <c r="L207" s="578" t="str">
        <f>IF(VLOOKUP($A207,'Pre-Assessment Estimator'!$A$10:$Z$225,L$2,FALSE)=0,"",VLOOKUP($A207,'Pre-Assessment Estimator'!$A$10:$Z$225,L$2,FALSE))</f>
        <v/>
      </c>
      <c r="M207" s="579"/>
      <c r="N207" s="580" t="str">
        <f>IF(VLOOKUP($A207,'Pre-Assessment Estimator'!$A$10:$Z$225,N$2,FALSE)=0,"",VLOOKUP($A207,'Pre-Assessment Estimator'!$A$10:$Z$225,N$2,FALSE))</f>
        <v/>
      </c>
      <c r="O207" s="575">
        <f>VLOOKUP($A207,'Pre-Assessment Estimator'!$A$10:$Z$225,O$2,FALSE)</f>
        <v>0</v>
      </c>
      <c r="P207" s="574" t="str">
        <f>VLOOKUP($A207,'Pre-Assessment Estimator'!$A$10:$Z$225,P$2,FALSE)</f>
        <v>N/A</v>
      </c>
      <c r="Q207" s="577" t="str">
        <f>IF(VLOOKUP($A207,'Pre-Assessment Estimator'!$A$10:$Z$225,Q$2,FALSE)=0,"",VLOOKUP($A207,'Pre-Assessment Estimator'!$A$10:$Z$225,Q$2,FALSE))</f>
        <v/>
      </c>
      <c r="R207" s="577" t="str">
        <f>IF(VLOOKUP($A207,'Pre-Assessment Estimator'!$A$10:$Z$225,R$2,FALSE)=0,"",VLOOKUP($A207,'Pre-Assessment Estimator'!$A$10:$Z$225,R$2,FALSE))</f>
        <v/>
      </c>
      <c r="S207" s="578" t="str">
        <f>IF(VLOOKUP($A207,'Pre-Assessment Estimator'!$A$10:$Z$225,S$2,FALSE)=0,"",VLOOKUP($A207,'Pre-Assessment Estimator'!$A$10:$Z$225,S$2,FALSE))</f>
        <v/>
      </c>
      <c r="T207" s="581"/>
      <c r="U207" s="580" t="str">
        <f>IF(VLOOKUP($A207,'Pre-Assessment Estimator'!$A$10:$Z$225,U$2,FALSE)=0,"",VLOOKUP($A207,'Pre-Assessment Estimator'!$A$10:$Z$225,U$2,FALSE))</f>
        <v/>
      </c>
      <c r="V207" s="575">
        <f>VLOOKUP($A207,'Pre-Assessment Estimator'!$A$10:$Z$225,V$2,FALSE)</f>
        <v>0</v>
      </c>
      <c r="W207" s="574" t="str">
        <f>VLOOKUP($A207,'Pre-Assessment Estimator'!$A$10:$Z$225,W$2,FALSE)</f>
        <v>N/A</v>
      </c>
      <c r="X207" s="577" t="str">
        <f>IF(VLOOKUP($A207,'Pre-Assessment Estimator'!$A$10:$Z$225,X$2,FALSE)=0,"",VLOOKUP($A207,'Pre-Assessment Estimator'!$A$10:$Z$225,X$2,FALSE))</f>
        <v/>
      </c>
      <c r="Y207" s="577" t="str">
        <f>IF(VLOOKUP($A207,'Pre-Assessment Estimator'!$A$10:$Z$225,Y$2,FALSE)=0,"",VLOOKUP($A207,'Pre-Assessment Estimator'!$A$10:$Z$225,Y$2,FALSE))</f>
        <v/>
      </c>
      <c r="Z207" s="370" t="str">
        <f>IF(VLOOKUP($A207,'Pre-Assessment Estimator'!$A$10:$Z$225,Z$2,FALSE)=0,"",VLOOKUP($A207,'Pre-Assessment Estimator'!$A$10:$Z$225,Z$2,FALSE))</f>
        <v/>
      </c>
      <c r="AA207" s="696">
        <v>197</v>
      </c>
      <c r="AB207" s="697"/>
      <c r="AF207" s="386">
        <f t="shared" si="3"/>
        <v>2</v>
      </c>
    </row>
    <row r="208" spans="1:32" ht="30.75" thickBot="1" x14ac:dyDescent="0.3">
      <c r="A208" s="823">
        <v>199</v>
      </c>
      <c r="B208" s="1236" t="s">
        <v>218</v>
      </c>
      <c r="C208" s="1236"/>
      <c r="D208" s="1261"/>
      <c r="E208" s="1261" t="str">
        <f>VLOOKUP($A208,'Pre-Assessment Estimator'!$A$10:$Z$225,E$2,FALSE)</f>
        <v>Total performance pollution</v>
      </c>
      <c r="F208" s="582">
        <f>VLOOKUP($A208,'Pre-Assessment Estimator'!$A$10:$Z$225,F$2,FALSE)</f>
        <v>7</v>
      </c>
      <c r="G208" s="584" t="str">
        <f>IF(VLOOKUP($A208,'Pre-Assessment Estimator'!$A$10:$Z$225,G$2,FALSE)=0,"",VLOOKUP($A208,'Pre-Assessment Estimator'!$A$10:$Z$225,G$2,FALSE))</f>
        <v/>
      </c>
      <c r="H208" s="583">
        <f>VLOOKUP($A208,'Pre-Assessment Estimator'!$A$10:$Z$225,H$2,FALSE)</f>
        <v>0</v>
      </c>
      <c r="I208" s="582" t="str">
        <f>VLOOKUP($A208,'Pre-Assessment Estimator'!$A$10:$Z$225,I$2,FALSE)</f>
        <v>Credits achieved: 0</v>
      </c>
      <c r="J208" s="1204" t="str">
        <f>IF(VLOOKUP($A208,'Pre-Assessment Estimator'!$A$10:$Z$225,J$2,FALSE)=0,"",VLOOKUP($A208,'Pre-Assessment Estimator'!$A$10:$Z$225,J$2,FALSE))</f>
        <v/>
      </c>
      <c r="K208" s="1204" t="str">
        <f>IF(VLOOKUP($A208,'Pre-Assessment Estimator'!$A$10:$Z$225,K$2,FALSE)=0,"",VLOOKUP($A208,'Pre-Assessment Estimator'!$A$10:$Z$225,K$2,FALSE))</f>
        <v/>
      </c>
      <c r="L208" s="1223" t="str">
        <f>IF(VLOOKUP($A208,'Pre-Assessment Estimator'!$A$10:$Z$225,L$2,FALSE)=0,"",VLOOKUP($A208,'Pre-Assessment Estimator'!$A$10:$Z$225,L$2,FALSE))</f>
        <v/>
      </c>
      <c r="M208" s="1224"/>
      <c r="N208" s="584" t="str">
        <f>IF(VLOOKUP($A208,'Pre-Assessment Estimator'!$A$10:$Z$225,N$2,FALSE)=0,"",VLOOKUP($A208,'Pre-Assessment Estimator'!$A$10:$Z$225,N$2,FALSE))</f>
        <v/>
      </c>
      <c r="O208" s="583">
        <f>VLOOKUP($A208,'Pre-Assessment Estimator'!$A$10:$Z$225,O$2,FALSE)</f>
        <v>0</v>
      </c>
      <c r="P208" s="582" t="str">
        <f>VLOOKUP($A208,'Pre-Assessment Estimator'!$A$10:$Z$225,P$2,FALSE)</f>
        <v>Credits achieved: 0</v>
      </c>
      <c r="Q208" s="1204" t="str">
        <f>IF(VLOOKUP($A208,'Pre-Assessment Estimator'!$A$10:$Z$225,Q$2,FALSE)=0,"",VLOOKUP($A208,'Pre-Assessment Estimator'!$A$10:$Z$225,Q$2,FALSE))</f>
        <v/>
      </c>
      <c r="R208" s="1204" t="str">
        <f>IF(VLOOKUP($A208,'Pre-Assessment Estimator'!$A$10:$Z$225,R$2,FALSE)=0,"",VLOOKUP($A208,'Pre-Assessment Estimator'!$A$10:$Z$225,R$2,FALSE))</f>
        <v/>
      </c>
      <c r="S208" s="1223" t="str">
        <f>IF(VLOOKUP($A208,'Pre-Assessment Estimator'!$A$10:$Z$225,S$2,FALSE)=0,"",VLOOKUP($A208,'Pre-Assessment Estimator'!$A$10:$Z$225,S$2,FALSE))</f>
        <v/>
      </c>
      <c r="T208" s="1225"/>
      <c r="U208" s="584" t="str">
        <f>IF(VLOOKUP($A208,'Pre-Assessment Estimator'!$A$10:$Z$225,U$2,FALSE)=0,"",VLOOKUP($A208,'Pre-Assessment Estimator'!$A$10:$Z$225,U$2,FALSE))</f>
        <v/>
      </c>
      <c r="V208" s="583">
        <f>VLOOKUP($A208,'Pre-Assessment Estimator'!$A$10:$Z$225,V$2,FALSE)</f>
        <v>0</v>
      </c>
      <c r="W208" s="582" t="str">
        <f>VLOOKUP($A208,'Pre-Assessment Estimator'!$A$10:$Z$225,W$2,FALSE)</f>
        <v>Credits achieved: 0</v>
      </c>
      <c r="X208" s="1204" t="str">
        <f>IF(VLOOKUP($A208,'Pre-Assessment Estimator'!$A$10:$Z$225,X$2,FALSE)=0,"",VLOOKUP($A208,'Pre-Assessment Estimator'!$A$10:$Z$225,X$2,FALSE))</f>
        <v/>
      </c>
      <c r="Y208" s="1204" t="str">
        <f>IF(VLOOKUP($A208,'Pre-Assessment Estimator'!$A$10:$Z$225,Y$2,FALSE)=0,"",VLOOKUP($A208,'Pre-Assessment Estimator'!$A$10:$Z$225,Y$2,FALSE))</f>
        <v/>
      </c>
      <c r="Z208" s="1226" t="str">
        <f>IF(VLOOKUP($A208,'Pre-Assessment Estimator'!$A$10:$Z$225,Z$2,FALSE)=0,"",VLOOKUP($A208,'Pre-Assessment Estimator'!$A$10:$Z$225,Z$2,FALSE))</f>
        <v/>
      </c>
      <c r="AA208" s="696">
        <v>198</v>
      </c>
      <c r="AB208" s="577" t="str">
        <f>IF(VLOOKUP($A208,'Pre-Assessment Estimator'!$A$10:$AB$225,AB$2,FALSE)=0,"",VLOOKUP($A208,'Pre-Assessment Estimator'!$A$10:$AB$225,AB$2,FALSE))</f>
        <v/>
      </c>
      <c r="AF208" s="386">
        <f t="shared" si="3"/>
        <v>1</v>
      </c>
    </row>
    <row r="209" spans="1:32" x14ac:dyDescent="0.25">
      <c r="A209" s="823">
        <v>200</v>
      </c>
      <c r="B209" s="1236" t="s">
        <v>218</v>
      </c>
      <c r="C209" s="1236"/>
      <c r="D209" s="585"/>
      <c r="E209" s="585"/>
      <c r="F209" s="586"/>
      <c r="G209" s="586"/>
      <c r="H209" s="586"/>
      <c r="I209" s="586"/>
      <c r="J209" s="585"/>
      <c r="K209" s="586"/>
      <c r="L209" s="585"/>
      <c r="M209" s="579"/>
      <c r="N209" s="586"/>
      <c r="O209" s="586"/>
      <c r="P209" s="586"/>
      <c r="Q209" s="585"/>
      <c r="R209" s="586"/>
      <c r="S209" s="585"/>
      <c r="T209" s="581"/>
      <c r="U209" s="586"/>
      <c r="V209" s="586"/>
      <c r="W209" s="586"/>
      <c r="X209" s="585"/>
      <c r="Y209" s="586"/>
      <c r="Z209" s="343"/>
      <c r="AA209" s="696">
        <v>199</v>
      </c>
      <c r="AB209" s="577" t="str">
        <f>IF(VLOOKUP($A209,'Pre-Assessment Estimator'!$A$10:$AB$225,AB$2,FALSE)=0,"",VLOOKUP($A209,'Pre-Assessment Estimator'!$A$10:$AB$225,AB$2,FALSE))</f>
        <v/>
      </c>
      <c r="AF209" s="386">
        <f t="shared" si="3"/>
        <v>1</v>
      </c>
    </row>
    <row r="210" spans="1:32" ht="18.75" x14ac:dyDescent="0.25">
      <c r="A210" s="823">
        <v>201</v>
      </c>
      <c r="B210" s="1236" t="s">
        <v>218</v>
      </c>
      <c r="C210" s="1236"/>
      <c r="D210" s="587"/>
      <c r="E210" s="587" t="s">
        <v>396</v>
      </c>
      <c r="F210" s="570"/>
      <c r="G210" s="570"/>
      <c r="H210" s="570"/>
      <c r="I210" s="570"/>
      <c r="J210" s="571"/>
      <c r="K210" s="570"/>
      <c r="L210" s="571"/>
      <c r="M210" s="579"/>
      <c r="N210" s="570"/>
      <c r="O210" s="570"/>
      <c r="P210" s="570"/>
      <c r="Q210" s="571"/>
      <c r="R210" s="570"/>
      <c r="S210" s="571"/>
      <c r="T210" s="581"/>
      <c r="U210" s="570"/>
      <c r="V210" s="570"/>
      <c r="W210" s="570"/>
      <c r="X210" s="571"/>
      <c r="Y210" s="570"/>
      <c r="Z210" s="411"/>
      <c r="AA210" s="696">
        <v>200</v>
      </c>
      <c r="AB210" s="577" t="str">
        <f>IF(VLOOKUP($A210,'Pre-Assessment Estimator'!$A$10:$AB$225,AB$2,FALSE)=0,"",VLOOKUP($A210,'Pre-Assessment Estimator'!$A$10:$AB$225,AB$2,FALSE))</f>
        <v/>
      </c>
      <c r="AF210" s="386">
        <f t="shared" ref="AF210:AF222" si="4">IF(F210="",1,IF(F210=0,2,1))</f>
        <v>1</v>
      </c>
    </row>
    <row r="211" spans="1:32" x14ac:dyDescent="0.25">
      <c r="A211" s="823">
        <v>202</v>
      </c>
      <c r="B211" s="1236" t="s">
        <v>218</v>
      </c>
      <c r="C211" s="1236"/>
      <c r="D211" s="1263" t="str">
        <f>VLOOKUP($A211,'Pre-Assessment Estimator'!$A$10:$Z$225,D$2,FALSE)</f>
        <v>Exemplary Level</v>
      </c>
      <c r="E211" s="1259" t="str">
        <f>VLOOKUP($A211,'Pre-Assessment Estimator'!$A$10:$Z$225,E$2,FALSE)</f>
        <v xml:space="preserve">Inn 01 - Man 03: Reduction of direct emissions from construction sites </v>
      </c>
      <c r="F211" s="574">
        <f>VLOOKUP($A211,'Pre-Assessment Estimator'!$A$10:$Z$225,F$2,FALSE)</f>
        <v>1</v>
      </c>
      <c r="G211" s="580" t="str">
        <f>IF(VLOOKUP($A211,'Pre-Assessment Estimator'!$A$10:$Z$225,G$2,FALSE)=0,"",VLOOKUP($A211,'Pre-Assessment Estimator'!$A$10:$Z$225,G$2,FALSE))</f>
        <v/>
      </c>
      <c r="H211" s="1222">
        <f>VLOOKUP($A211,'Pre-Assessment Estimator'!$A$10:$Z$225,H$2,FALSE)</f>
        <v>0</v>
      </c>
      <c r="I211" s="576" t="str">
        <f>VLOOKUP($A211,'Pre-Assessment Estimator'!$A$10:$Z$225,I$2,FALSE)</f>
        <v>N/A</v>
      </c>
      <c r="J211" s="577" t="str">
        <f>IF(VLOOKUP($A211,'Pre-Assessment Estimator'!$A$10:$Z$225,J$2,FALSE)=0,"",VLOOKUP($A211,'Pre-Assessment Estimator'!$A$10:$Z$225,J$2,FALSE))</f>
        <v/>
      </c>
      <c r="K211" s="577" t="str">
        <f>IF(VLOOKUP($A211,'Pre-Assessment Estimator'!$A$10:$Z$225,K$2,FALSE)=0,"",VLOOKUP($A211,'Pre-Assessment Estimator'!$A$10:$Z$225,K$2,FALSE))</f>
        <v/>
      </c>
      <c r="L211" s="578" t="str">
        <f>IF(VLOOKUP($A211,'Pre-Assessment Estimator'!$A$10:$Z$225,L$2,FALSE)=0,"",VLOOKUP($A211,'Pre-Assessment Estimator'!$A$10:$Z$225,L$2,FALSE))</f>
        <v/>
      </c>
      <c r="M211" s="579"/>
      <c r="N211" s="580" t="str">
        <f>IF(VLOOKUP($A211,'Pre-Assessment Estimator'!$A$10:$Z$225,N$2,FALSE)=0,"",VLOOKUP($A211,'Pre-Assessment Estimator'!$A$10:$Z$225,N$2,FALSE))</f>
        <v/>
      </c>
      <c r="O211" s="575">
        <f>VLOOKUP($A211,'Pre-Assessment Estimator'!$A$10:$Z$225,O$2,FALSE)</f>
        <v>0</v>
      </c>
      <c r="P211" s="574" t="str">
        <f>VLOOKUP($A211,'Pre-Assessment Estimator'!$A$10:$Z$225,P$2,FALSE)</f>
        <v>N/A</v>
      </c>
      <c r="Q211" s="577" t="str">
        <f>IF(VLOOKUP($A211,'Pre-Assessment Estimator'!$A$10:$Z$225,Q$2,FALSE)=0,"",VLOOKUP($A211,'Pre-Assessment Estimator'!$A$10:$Z$225,Q$2,FALSE))</f>
        <v/>
      </c>
      <c r="R211" s="577" t="str">
        <f>IF(VLOOKUP($A211,'Pre-Assessment Estimator'!$A$10:$Z$225,R$2,FALSE)=0,"",VLOOKUP($A211,'Pre-Assessment Estimator'!$A$10:$Z$225,R$2,FALSE))</f>
        <v/>
      </c>
      <c r="S211" s="578" t="str">
        <f>IF(VLOOKUP($A211,'Pre-Assessment Estimator'!$A$10:$Z$225,S$2,FALSE)=0,"",VLOOKUP($A211,'Pre-Assessment Estimator'!$A$10:$Z$225,S$2,FALSE))</f>
        <v/>
      </c>
      <c r="T211" s="581"/>
      <c r="U211" s="580" t="str">
        <f>IF(VLOOKUP($A211,'Pre-Assessment Estimator'!$A$10:$Z$225,U$2,FALSE)=0,"",VLOOKUP($A211,'Pre-Assessment Estimator'!$A$10:$Z$225,U$2,FALSE))</f>
        <v/>
      </c>
      <c r="V211" s="575">
        <f>VLOOKUP($A211,'Pre-Assessment Estimator'!$A$10:$Z$225,V$2,FALSE)</f>
        <v>0</v>
      </c>
      <c r="W211" s="574" t="str">
        <f>VLOOKUP($A211,'Pre-Assessment Estimator'!$A$10:$Z$225,W$2,FALSE)</f>
        <v>N/A</v>
      </c>
      <c r="X211" s="577" t="str">
        <f>IF(VLOOKUP($A211,'Pre-Assessment Estimator'!$A$10:$Z$225,X$2,FALSE)=0,"",VLOOKUP($A211,'Pre-Assessment Estimator'!$A$10:$Z$225,X$2,FALSE))</f>
        <v/>
      </c>
      <c r="Y211" s="577" t="str">
        <f>IF(VLOOKUP($A211,'Pre-Assessment Estimator'!$A$10:$Z$225,Y$2,FALSE)=0,"",VLOOKUP($A211,'Pre-Assessment Estimator'!$A$10:$Z$225,Y$2,FALSE))</f>
        <v/>
      </c>
      <c r="Z211" s="370" t="str">
        <f>IF(VLOOKUP($A211,'Pre-Assessment Estimator'!$A$10:$Z$225,Z$2,FALSE)=0,"",VLOOKUP($A211,'Pre-Assessment Estimator'!$A$10:$Z$225,Z$2,FALSE))</f>
        <v/>
      </c>
      <c r="AA211" s="696">
        <v>201</v>
      </c>
      <c r="AB211" s="577"/>
      <c r="AF211" s="386">
        <f t="shared" si="4"/>
        <v>1</v>
      </c>
    </row>
    <row r="212" spans="1:32" x14ac:dyDescent="0.25">
      <c r="A212" s="823">
        <v>203</v>
      </c>
      <c r="B212" s="1236" t="s">
        <v>218</v>
      </c>
      <c r="C212" s="1236"/>
      <c r="D212" s="1263" t="str">
        <f>VLOOKUP($A212,'Pre-Assessment Estimator'!$A$10:$Z$225,D$2,FALSE)</f>
        <v>Exemplary Level</v>
      </c>
      <c r="E212" s="1259" t="str">
        <f>VLOOKUP($A212,'Pre-Assessment Estimator'!$A$10:$Z$225,E$2,FALSE)</f>
        <v xml:space="preserve">Inn 02 - Hea 01: View out, high level </v>
      </c>
      <c r="F212" s="574">
        <f>VLOOKUP($A212,'Pre-Assessment Estimator'!$A$10:$Z$225,F$2,FALSE)</f>
        <v>1</v>
      </c>
      <c r="G212" s="580" t="str">
        <f>IF(VLOOKUP($A212,'Pre-Assessment Estimator'!$A$10:$Z$225,G$2,FALSE)=0,"",VLOOKUP($A212,'Pre-Assessment Estimator'!$A$10:$Z$225,G$2,FALSE))</f>
        <v/>
      </c>
      <c r="H212" s="1222">
        <f>VLOOKUP($A212,'Pre-Assessment Estimator'!$A$10:$Z$225,H$2,FALSE)</f>
        <v>0</v>
      </c>
      <c r="I212" s="576" t="str">
        <f>VLOOKUP($A212,'Pre-Assessment Estimator'!$A$10:$Z$225,I$2,FALSE)</f>
        <v>N/A</v>
      </c>
      <c r="J212" s="577" t="str">
        <f>IF(VLOOKUP($A212,'Pre-Assessment Estimator'!$A$10:$Z$225,J$2,FALSE)=0,"",VLOOKUP($A212,'Pre-Assessment Estimator'!$A$10:$Z$225,J$2,FALSE))</f>
        <v/>
      </c>
      <c r="K212" s="577" t="str">
        <f>IF(VLOOKUP($A212,'Pre-Assessment Estimator'!$A$10:$Z$225,K$2,FALSE)=0,"",VLOOKUP($A212,'Pre-Assessment Estimator'!$A$10:$Z$225,K$2,FALSE))</f>
        <v/>
      </c>
      <c r="L212" s="578" t="str">
        <f>IF(VLOOKUP($A212,'Pre-Assessment Estimator'!$A$10:$Z$225,L$2,FALSE)=0,"",VLOOKUP($A212,'Pre-Assessment Estimator'!$A$10:$Z$225,L$2,FALSE))</f>
        <v/>
      </c>
      <c r="M212" s="579"/>
      <c r="N212" s="580" t="str">
        <f>IF(VLOOKUP($A212,'Pre-Assessment Estimator'!$A$10:$Z$225,N$2,FALSE)=0,"",VLOOKUP($A212,'Pre-Assessment Estimator'!$A$10:$Z$225,N$2,FALSE))</f>
        <v/>
      </c>
      <c r="O212" s="575">
        <f>VLOOKUP($A212,'Pre-Assessment Estimator'!$A$10:$Z$225,O$2,FALSE)</f>
        <v>0</v>
      </c>
      <c r="P212" s="574" t="str">
        <f>VLOOKUP($A212,'Pre-Assessment Estimator'!$A$10:$Z$225,P$2,FALSE)</f>
        <v>N/A</v>
      </c>
      <c r="Q212" s="577" t="str">
        <f>IF(VLOOKUP($A212,'Pre-Assessment Estimator'!$A$10:$Z$225,Q$2,FALSE)=0,"",VLOOKUP($A212,'Pre-Assessment Estimator'!$A$10:$Z$225,Q$2,FALSE))</f>
        <v/>
      </c>
      <c r="R212" s="577" t="str">
        <f>IF(VLOOKUP($A212,'Pre-Assessment Estimator'!$A$10:$Z$225,R$2,FALSE)=0,"",VLOOKUP($A212,'Pre-Assessment Estimator'!$A$10:$Z$225,R$2,FALSE))</f>
        <v/>
      </c>
      <c r="S212" s="578" t="str">
        <f>IF(VLOOKUP($A212,'Pre-Assessment Estimator'!$A$10:$Z$225,S$2,FALSE)=0,"",VLOOKUP($A212,'Pre-Assessment Estimator'!$A$10:$Z$225,S$2,FALSE))</f>
        <v/>
      </c>
      <c r="T212" s="581"/>
      <c r="U212" s="580" t="str">
        <f>IF(VLOOKUP($A212,'Pre-Assessment Estimator'!$A$10:$Z$225,U$2,FALSE)=0,"",VLOOKUP($A212,'Pre-Assessment Estimator'!$A$10:$Z$225,U$2,FALSE))</f>
        <v/>
      </c>
      <c r="V212" s="575">
        <f>VLOOKUP($A212,'Pre-Assessment Estimator'!$A$10:$Z$225,V$2,FALSE)</f>
        <v>0</v>
      </c>
      <c r="W212" s="574" t="str">
        <f>VLOOKUP($A212,'Pre-Assessment Estimator'!$A$10:$Z$225,W$2,FALSE)</f>
        <v>N/A</v>
      </c>
      <c r="X212" s="577" t="str">
        <f>IF(VLOOKUP($A212,'Pre-Assessment Estimator'!$A$10:$Z$225,X$2,FALSE)=0,"",VLOOKUP($A212,'Pre-Assessment Estimator'!$A$10:$Z$225,X$2,FALSE))</f>
        <v/>
      </c>
      <c r="Y212" s="577" t="str">
        <f>IF(VLOOKUP($A212,'Pre-Assessment Estimator'!$A$10:$Z$225,Y$2,FALSE)=0,"",VLOOKUP($A212,'Pre-Assessment Estimator'!$A$10:$Z$225,Y$2,FALSE))</f>
        <v/>
      </c>
      <c r="Z212" s="370" t="str">
        <f>IF(VLOOKUP($A212,'Pre-Assessment Estimator'!$A$10:$Z$225,Z$2,FALSE)=0,"",VLOOKUP($A212,'Pre-Assessment Estimator'!$A$10:$Z$225,Z$2,FALSE))</f>
        <v/>
      </c>
      <c r="AA212" s="696">
        <v>202</v>
      </c>
      <c r="AB212" s="577"/>
      <c r="AF212" s="386">
        <f t="shared" si="4"/>
        <v>1</v>
      </c>
    </row>
    <row r="213" spans="1:32" x14ac:dyDescent="0.25">
      <c r="A213" s="823">
        <v>204</v>
      </c>
      <c r="B213" s="1236" t="s">
        <v>218</v>
      </c>
      <c r="C213" s="1236"/>
      <c r="D213" s="1263" t="str">
        <f>VLOOKUP($A213,'Pre-Assessment Estimator'!$A$10:$Z$225,D$2,FALSE)</f>
        <v>Exemplary Level</v>
      </c>
      <c r="E213" s="1259" t="str">
        <f>VLOOKUP($A213,'Pre-Assessment Estimator'!$A$10:$Z$225,E$2,FALSE)</f>
        <v>Inn 03 - Hea 02: Emissions from construction products</v>
      </c>
      <c r="F213" s="574">
        <f>VLOOKUP($A213,'Pre-Assessment Estimator'!$A$10:$Z$225,F$2,FALSE)</f>
        <v>1</v>
      </c>
      <c r="G213" s="580" t="str">
        <f>IF(VLOOKUP($A213,'Pre-Assessment Estimator'!$A$10:$Z$225,G$2,FALSE)=0,"",VLOOKUP($A213,'Pre-Assessment Estimator'!$A$10:$Z$225,G$2,FALSE))</f>
        <v/>
      </c>
      <c r="H213" s="1222">
        <f>VLOOKUP($A213,'Pre-Assessment Estimator'!$A$10:$Z$225,H$2,FALSE)</f>
        <v>0</v>
      </c>
      <c r="I213" s="576" t="str">
        <f>VLOOKUP($A213,'Pre-Assessment Estimator'!$A$10:$Z$225,I$2,FALSE)</f>
        <v>N/A</v>
      </c>
      <c r="J213" s="577" t="str">
        <f>IF(VLOOKUP($A213,'Pre-Assessment Estimator'!$A$10:$Z$225,J$2,FALSE)=0,"",VLOOKUP($A213,'Pre-Assessment Estimator'!$A$10:$Z$225,J$2,FALSE))</f>
        <v/>
      </c>
      <c r="K213" s="577" t="str">
        <f>IF(VLOOKUP($A213,'Pre-Assessment Estimator'!$A$10:$Z$225,K$2,FALSE)=0,"",VLOOKUP($A213,'Pre-Assessment Estimator'!$A$10:$Z$225,K$2,FALSE))</f>
        <v/>
      </c>
      <c r="L213" s="578" t="str">
        <f>IF(VLOOKUP($A213,'Pre-Assessment Estimator'!$A$10:$Z$225,L$2,FALSE)=0,"",VLOOKUP($A213,'Pre-Assessment Estimator'!$A$10:$Z$225,L$2,FALSE))</f>
        <v/>
      </c>
      <c r="M213" s="579"/>
      <c r="N213" s="580" t="str">
        <f>IF(VLOOKUP($A213,'Pre-Assessment Estimator'!$A$10:$Z$225,N$2,FALSE)=0,"",VLOOKUP($A213,'Pre-Assessment Estimator'!$A$10:$Z$225,N$2,FALSE))</f>
        <v/>
      </c>
      <c r="O213" s="575">
        <f>VLOOKUP($A213,'Pre-Assessment Estimator'!$A$10:$Z$225,O$2,FALSE)</f>
        <v>0</v>
      </c>
      <c r="P213" s="574" t="str">
        <f>VLOOKUP($A213,'Pre-Assessment Estimator'!$A$10:$Z$225,P$2,FALSE)</f>
        <v>N/A</v>
      </c>
      <c r="Q213" s="577" t="str">
        <f>IF(VLOOKUP($A213,'Pre-Assessment Estimator'!$A$10:$Z$225,Q$2,FALSE)=0,"",VLOOKUP($A213,'Pre-Assessment Estimator'!$A$10:$Z$225,Q$2,FALSE))</f>
        <v/>
      </c>
      <c r="R213" s="577" t="str">
        <f>IF(VLOOKUP($A213,'Pre-Assessment Estimator'!$A$10:$Z$225,R$2,FALSE)=0,"",VLOOKUP($A213,'Pre-Assessment Estimator'!$A$10:$Z$225,R$2,FALSE))</f>
        <v/>
      </c>
      <c r="S213" s="578" t="str">
        <f>IF(VLOOKUP($A213,'Pre-Assessment Estimator'!$A$10:$Z$225,S$2,FALSE)=0,"",VLOOKUP($A213,'Pre-Assessment Estimator'!$A$10:$Z$225,S$2,FALSE))</f>
        <v/>
      </c>
      <c r="T213" s="581"/>
      <c r="U213" s="580" t="str">
        <f>IF(VLOOKUP($A213,'Pre-Assessment Estimator'!$A$10:$Z$225,U$2,FALSE)=0,"",VLOOKUP($A213,'Pre-Assessment Estimator'!$A$10:$Z$225,U$2,FALSE))</f>
        <v/>
      </c>
      <c r="V213" s="575">
        <f>VLOOKUP($A213,'Pre-Assessment Estimator'!$A$10:$Z$225,V$2,FALSE)</f>
        <v>0</v>
      </c>
      <c r="W213" s="574" t="str">
        <f>VLOOKUP($A213,'Pre-Assessment Estimator'!$A$10:$Z$225,W$2,FALSE)</f>
        <v>N/A</v>
      </c>
      <c r="X213" s="577" t="str">
        <f>IF(VLOOKUP($A213,'Pre-Assessment Estimator'!$A$10:$Z$225,X$2,FALSE)=0,"",VLOOKUP($A213,'Pre-Assessment Estimator'!$A$10:$Z$225,X$2,FALSE))</f>
        <v/>
      </c>
      <c r="Y213" s="577" t="str">
        <f>IF(VLOOKUP($A213,'Pre-Assessment Estimator'!$A$10:$Z$225,Y$2,FALSE)=0,"",VLOOKUP($A213,'Pre-Assessment Estimator'!$A$10:$Z$225,Y$2,FALSE))</f>
        <v/>
      </c>
      <c r="Z213" s="370" t="str">
        <f>IF(VLOOKUP($A213,'Pre-Assessment Estimator'!$A$10:$Z$225,Z$2,FALSE)=0,"",VLOOKUP($A213,'Pre-Assessment Estimator'!$A$10:$Z$225,Z$2,FALSE))</f>
        <v/>
      </c>
      <c r="AA213" s="696">
        <v>203</v>
      </c>
      <c r="AB213" s="577"/>
      <c r="AF213" s="386">
        <f t="shared" si="4"/>
        <v>1</v>
      </c>
    </row>
    <row r="214" spans="1:32" x14ac:dyDescent="0.25">
      <c r="A214" s="823">
        <v>205</v>
      </c>
      <c r="B214" s="1236" t="s">
        <v>218</v>
      </c>
      <c r="C214" s="1236"/>
      <c r="D214" s="1263" t="str">
        <f>VLOOKUP($A214,'Pre-Assessment Estimator'!$A$10:$Z$225,D$2,FALSE)</f>
        <v>Exemplary Level</v>
      </c>
      <c r="E214" s="1259" t="str">
        <f>VLOOKUP($A214,'Pre-Assessment Estimator'!$A$10:$Z$225,E$2,FALSE)</f>
        <v xml:space="preserve">Inn 04 - Hea 06: Biofilik design </v>
      </c>
      <c r="F214" s="574">
        <f>VLOOKUP($A214,'Pre-Assessment Estimator'!$A$10:$Z$225,F$2,FALSE)</f>
        <v>1</v>
      </c>
      <c r="G214" s="580" t="str">
        <f>IF(VLOOKUP($A214,'Pre-Assessment Estimator'!$A$10:$Z$225,G$2,FALSE)=0,"",VLOOKUP($A214,'Pre-Assessment Estimator'!$A$10:$Z$225,G$2,FALSE))</f>
        <v/>
      </c>
      <c r="H214" s="1222">
        <f>VLOOKUP($A214,'Pre-Assessment Estimator'!$A$10:$Z$225,H$2,FALSE)</f>
        <v>0</v>
      </c>
      <c r="I214" s="576" t="str">
        <f>VLOOKUP($A214,'Pre-Assessment Estimator'!$A$10:$Z$225,I$2,FALSE)</f>
        <v>N/A</v>
      </c>
      <c r="J214" s="577" t="str">
        <f>IF(VLOOKUP($A214,'Pre-Assessment Estimator'!$A$10:$Z$225,J$2,FALSE)=0,"",VLOOKUP($A214,'Pre-Assessment Estimator'!$A$10:$Z$225,J$2,FALSE))</f>
        <v/>
      </c>
      <c r="K214" s="577" t="str">
        <f>IF(VLOOKUP($A214,'Pre-Assessment Estimator'!$A$10:$Z$225,K$2,FALSE)=0,"",VLOOKUP($A214,'Pre-Assessment Estimator'!$A$10:$Z$225,K$2,FALSE))</f>
        <v/>
      </c>
      <c r="L214" s="578" t="str">
        <f>IF(VLOOKUP($A214,'Pre-Assessment Estimator'!$A$10:$Z$225,L$2,FALSE)=0,"",VLOOKUP($A214,'Pre-Assessment Estimator'!$A$10:$Z$225,L$2,FALSE))</f>
        <v/>
      </c>
      <c r="M214" s="579"/>
      <c r="N214" s="580" t="str">
        <f>IF(VLOOKUP($A214,'Pre-Assessment Estimator'!$A$10:$Z$225,N$2,FALSE)=0,"",VLOOKUP($A214,'Pre-Assessment Estimator'!$A$10:$Z$225,N$2,FALSE))</f>
        <v/>
      </c>
      <c r="O214" s="575">
        <f>VLOOKUP($A214,'Pre-Assessment Estimator'!$A$10:$Z$225,O$2,FALSE)</f>
        <v>0</v>
      </c>
      <c r="P214" s="574" t="str">
        <f>VLOOKUP($A214,'Pre-Assessment Estimator'!$A$10:$Z$225,P$2,FALSE)</f>
        <v>N/A</v>
      </c>
      <c r="Q214" s="577" t="str">
        <f>IF(VLOOKUP($A214,'Pre-Assessment Estimator'!$A$10:$Z$225,Q$2,FALSE)=0,"",VLOOKUP($A214,'Pre-Assessment Estimator'!$A$10:$Z$225,Q$2,FALSE))</f>
        <v/>
      </c>
      <c r="R214" s="577" t="str">
        <f>IF(VLOOKUP($A214,'Pre-Assessment Estimator'!$A$10:$Z$225,R$2,FALSE)=0,"",VLOOKUP($A214,'Pre-Assessment Estimator'!$A$10:$Z$225,R$2,FALSE))</f>
        <v/>
      </c>
      <c r="S214" s="578" t="str">
        <f>IF(VLOOKUP($A214,'Pre-Assessment Estimator'!$A$10:$Z$225,S$2,FALSE)=0,"",VLOOKUP($A214,'Pre-Assessment Estimator'!$A$10:$Z$225,S$2,FALSE))</f>
        <v/>
      </c>
      <c r="T214" s="581"/>
      <c r="U214" s="580" t="str">
        <f>IF(VLOOKUP($A214,'Pre-Assessment Estimator'!$A$10:$Z$225,U$2,FALSE)=0,"",VLOOKUP($A214,'Pre-Assessment Estimator'!$A$10:$Z$225,U$2,FALSE))</f>
        <v/>
      </c>
      <c r="V214" s="575">
        <f>VLOOKUP($A214,'Pre-Assessment Estimator'!$A$10:$Z$225,V$2,FALSE)</f>
        <v>0</v>
      </c>
      <c r="W214" s="574" t="str">
        <f>VLOOKUP($A214,'Pre-Assessment Estimator'!$A$10:$Z$225,W$2,FALSE)</f>
        <v>N/A</v>
      </c>
      <c r="X214" s="577" t="str">
        <f>IF(VLOOKUP($A214,'Pre-Assessment Estimator'!$A$10:$Z$225,X$2,FALSE)=0,"",VLOOKUP($A214,'Pre-Assessment Estimator'!$A$10:$Z$225,X$2,FALSE))</f>
        <v/>
      </c>
      <c r="Y214" s="577" t="str">
        <f>IF(VLOOKUP($A214,'Pre-Assessment Estimator'!$A$10:$Z$225,Y$2,FALSE)=0,"",VLOOKUP($A214,'Pre-Assessment Estimator'!$A$10:$Z$225,Y$2,FALSE))</f>
        <v/>
      </c>
      <c r="Z214" s="370" t="str">
        <f>IF(VLOOKUP($A214,'Pre-Assessment Estimator'!$A$10:$Z$225,Z$2,FALSE)=0,"",VLOOKUP($A214,'Pre-Assessment Estimator'!$A$10:$Z$225,Z$2,FALSE))</f>
        <v/>
      </c>
      <c r="AA214" s="696">
        <v>204</v>
      </c>
      <c r="AB214" s="577"/>
      <c r="AF214" s="386">
        <f t="shared" si="4"/>
        <v>1</v>
      </c>
    </row>
    <row r="215" spans="1:32" x14ac:dyDescent="0.25">
      <c r="A215" s="823">
        <v>206</v>
      </c>
      <c r="B215" s="1236" t="s">
        <v>218</v>
      </c>
      <c r="C215" s="1236"/>
      <c r="D215" s="1263" t="str">
        <f>VLOOKUP($A215,'Pre-Assessment Estimator'!$A$10:$Z$225,D$2,FALSE)</f>
        <v>Exemplary Level</v>
      </c>
      <c r="E215" s="1259" t="str">
        <f>VLOOKUP($A215,'Pre-Assessment Estimator'!$A$10:$Z$225,E$2,FALSE)</f>
        <v xml:space="preserve">Inn 05 - Ene 01: Post-occupancy stage </v>
      </c>
      <c r="F215" s="574">
        <f>VLOOKUP($A215,'Pre-Assessment Estimator'!$A$10:$Z$225,F$2,FALSE)</f>
        <v>2</v>
      </c>
      <c r="G215" s="580" t="str">
        <f>IF(VLOOKUP($A215,'Pre-Assessment Estimator'!$A$10:$Z$225,G$2,FALSE)=0,"",VLOOKUP($A215,'Pre-Assessment Estimator'!$A$10:$Z$225,G$2,FALSE))</f>
        <v/>
      </c>
      <c r="H215" s="1222">
        <f>VLOOKUP($A215,'Pre-Assessment Estimator'!$A$10:$Z$225,H$2,FALSE)</f>
        <v>0</v>
      </c>
      <c r="I215" s="576" t="str">
        <f>VLOOKUP($A215,'Pre-Assessment Estimator'!$A$10:$Z$225,I$2,FALSE)</f>
        <v>N/A</v>
      </c>
      <c r="J215" s="577" t="str">
        <f>IF(VLOOKUP($A215,'Pre-Assessment Estimator'!$A$10:$Z$225,J$2,FALSE)=0,"",VLOOKUP($A215,'Pre-Assessment Estimator'!$A$10:$Z$225,J$2,FALSE))</f>
        <v/>
      </c>
      <c r="K215" s="577" t="str">
        <f>IF(VLOOKUP($A215,'Pre-Assessment Estimator'!$A$10:$Z$225,K$2,FALSE)=0,"",VLOOKUP($A215,'Pre-Assessment Estimator'!$A$10:$Z$225,K$2,FALSE))</f>
        <v/>
      </c>
      <c r="L215" s="578" t="str">
        <f>IF(VLOOKUP($A215,'Pre-Assessment Estimator'!$A$10:$Z$225,L$2,FALSE)=0,"",VLOOKUP($A215,'Pre-Assessment Estimator'!$A$10:$Z$225,L$2,FALSE))</f>
        <v/>
      </c>
      <c r="M215" s="579"/>
      <c r="N215" s="580" t="str">
        <f>IF(VLOOKUP($A215,'Pre-Assessment Estimator'!$A$10:$Z$225,N$2,FALSE)=0,"",VLOOKUP($A215,'Pre-Assessment Estimator'!$A$10:$Z$225,N$2,FALSE))</f>
        <v/>
      </c>
      <c r="O215" s="575">
        <f>VLOOKUP($A215,'Pre-Assessment Estimator'!$A$10:$Z$225,O$2,FALSE)</f>
        <v>0</v>
      </c>
      <c r="P215" s="574" t="str">
        <f>VLOOKUP($A215,'Pre-Assessment Estimator'!$A$10:$Z$225,P$2,FALSE)</f>
        <v>N/A</v>
      </c>
      <c r="Q215" s="577" t="str">
        <f>IF(VLOOKUP($A215,'Pre-Assessment Estimator'!$A$10:$Z$225,Q$2,FALSE)=0,"",VLOOKUP($A215,'Pre-Assessment Estimator'!$A$10:$Z$225,Q$2,FALSE))</f>
        <v/>
      </c>
      <c r="R215" s="577" t="str">
        <f>IF(VLOOKUP($A215,'Pre-Assessment Estimator'!$A$10:$Z$225,R$2,FALSE)=0,"",VLOOKUP($A215,'Pre-Assessment Estimator'!$A$10:$Z$225,R$2,FALSE))</f>
        <v/>
      </c>
      <c r="S215" s="578" t="str">
        <f>IF(VLOOKUP($A215,'Pre-Assessment Estimator'!$A$10:$Z$225,S$2,FALSE)=0,"",VLOOKUP($A215,'Pre-Assessment Estimator'!$A$10:$Z$225,S$2,FALSE))</f>
        <v/>
      </c>
      <c r="T215" s="581"/>
      <c r="U215" s="580" t="str">
        <f>IF(VLOOKUP($A215,'Pre-Assessment Estimator'!$A$10:$Z$225,U$2,FALSE)=0,"",VLOOKUP($A215,'Pre-Assessment Estimator'!$A$10:$Z$225,U$2,FALSE))</f>
        <v/>
      </c>
      <c r="V215" s="575">
        <f>VLOOKUP($A215,'Pre-Assessment Estimator'!$A$10:$Z$225,V$2,FALSE)</f>
        <v>0</v>
      </c>
      <c r="W215" s="574" t="str">
        <f>VLOOKUP($A215,'Pre-Assessment Estimator'!$A$10:$Z$225,W$2,FALSE)</f>
        <v>N/A</v>
      </c>
      <c r="X215" s="577" t="str">
        <f>IF(VLOOKUP($A215,'Pre-Assessment Estimator'!$A$10:$Z$225,X$2,FALSE)=0,"",VLOOKUP($A215,'Pre-Assessment Estimator'!$A$10:$Z$225,X$2,FALSE))</f>
        <v/>
      </c>
      <c r="Y215" s="577" t="str">
        <f>IF(VLOOKUP($A215,'Pre-Assessment Estimator'!$A$10:$Z$225,Y$2,FALSE)=0,"",VLOOKUP($A215,'Pre-Assessment Estimator'!$A$10:$Z$225,Y$2,FALSE))</f>
        <v/>
      </c>
      <c r="Z215" s="370" t="str">
        <f>IF(VLOOKUP($A215,'Pre-Assessment Estimator'!$A$10:$Z$225,Z$2,FALSE)=0,"",VLOOKUP($A215,'Pre-Assessment Estimator'!$A$10:$Z$225,Z$2,FALSE))</f>
        <v/>
      </c>
      <c r="AA215" s="696">
        <v>205</v>
      </c>
      <c r="AB215" s="577"/>
      <c r="AF215" s="386">
        <f t="shared" si="4"/>
        <v>1</v>
      </c>
    </row>
    <row r="216" spans="1:32" x14ac:dyDescent="0.25">
      <c r="A216" s="823">
        <v>207</v>
      </c>
      <c r="B216" s="1236" t="s">
        <v>218</v>
      </c>
      <c r="C216" s="1236"/>
      <c r="D216" s="1263" t="str">
        <f>VLOOKUP($A216,'Pre-Assessment Estimator'!$A$10:$Z$225,D$2,FALSE)</f>
        <v>Exemplary Level</v>
      </c>
      <c r="E216" s="1259" t="str">
        <f>VLOOKUP($A216,'Pre-Assessment Estimator'!$A$10:$Z$225,E$2,FALSE)</f>
        <v xml:space="preserve">Inn 06 - Ene 01: Plus house </v>
      </c>
      <c r="F216" s="574">
        <f>VLOOKUP($A216,'Pre-Assessment Estimator'!$A$10:$Z$225,F$2,FALSE)</f>
        <v>1</v>
      </c>
      <c r="G216" s="580" t="str">
        <f>IF(VLOOKUP($A216,'Pre-Assessment Estimator'!$A$10:$Z$225,G$2,FALSE)=0,"",VLOOKUP($A216,'Pre-Assessment Estimator'!$A$10:$Z$225,G$2,FALSE))</f>
        <v/>
      </c>
      <c r="H216" s="1222">
        <f>VLOOKUP($A216,'Pre-Assessment Estimator'!$A$10:$Z$225,H$2,FALSE)</f>
        <v>0</v>
      </c>
      <c r="I216" s="576" t="str">
        <f>VLOOKUP($A216,'Pre-Assessment Estimator'!$A$10:$Z$225,I$2,FALSE)</f>
        <v>N/A</v>
      </c>
      <c r="J216" s="577" t="str">
        <f>IF(VLOOKUP($A216,'Pre-Assessment Estimator'!$A$10:$Z$225,J$2,FALSE)=0,"",VLOOKUP($A216,'Pre-Assessment Estimator'!$A$10:$Z$225,J$2,FALSE))</f>
        <v/>
      </c>
      <c r="K216" s="577" t="str">
        <f>IF(VLOOKUP($A216,'Pre-Assessment Estimator'!$A$10:$Z$225,K$2,FALSE)=0,"",VLOOKUP($A216,'Pre-Assessment Estimator'!$A$10:$Z$225,K$2,FALSE))</f>
        <v/>
      </c>
      <c r="L216" s="578" t="str">
        <f>IF(VLOOKUP($A216,'Pre-Assessment Estimator'!$A$10:$Z$225,L$2,FALSE)=0,"",VLOOKUP($A216,'Pre-Assessment Estimator'!$A$10:$Z$225,L$2,FALSE))</f>
        <v/>
      </c>
      <c r="M216" s="579"/>
      <c r="N216" s="580" t="str">
        <f>IF(VLOOKUP($A216,'Pre-Assessment Estimator'!$A$10:$Z$225,N$2,FALSE)=0,"",VLOOKUP($A216,'Pre-Assessment Estimator'!$A$10:$Z$225,N$2,FALSE))</f>
        <v/>
      </c>
      <c r="O216" s="575">
        <f>VLOOKUP($A216,'Pre-Assessment Estimator'!$A$10:$Z$225,O$2,FALSE)</f>
        <v>0</v>
      </c>
      <c r="P216" s="574" t="str">
        <f>VLOOKUP($A216,'Pre-Assessment Estimator'!$A$10:$Z$225,P$2,FALSE)</f>
        <v>N/A</v>
      </c>
      <c r="Q216" s="577" t="str">
        <f>IF(VLOOKUP($A216,'Pre-Assessment Estimator'!$A$10:$Z$225,Q$2,FALSE)=0,"",VLOOKUP($A216,'Pre-Assessment Estimator'!$A$10:$Z$225,Q$2,FALSE))</f>
        <v/>
      </c>
      <c r="R216" s="577" t="str">
        <f>IF(VLOOKUP($A216,'Pre-Assessment Estimator'!$A$10:$Z$225,R$2,FALSE)=0,"",VLOOKUP($A216,'Pre-Assessment Estimator'!$A$10:$Z$225,R$2,FALSE))</f>
        <v/>
      </c>
      <c r="S216" s="578" t="str">
        <f>IF(VLOOKUP($A216,'Pre-Assessment Estimator'!$A$10:$Z$225,S$2,FALSE)=0,"",VLOOKUP($A216,'Pre-Assessment Estimator'!$A$10:$Z$225,S$2,FALSE))</f>
        <v/>
      </c>
      <c r="T216" s="581"/>
      <c r="U216" s="580" t="str">
        <f>IF(VLOOKUP($A216,'Pre-Assessment Estimator'!$A$10:$Z$225,U$2,FALSE)=0,"",VLOOKUP($A216,'Pre-Assessment Estimator'!$A$10:$Z$225,U$2,FALSE))</f>
        <v/>
      </c>
      <c r="V216" s="575">
        <f>VLOOKUP($A216,'Pre-Assessment Estimator'!$A$10:$Z$225,V$2,FALSE)</f>
        <v>0</v>
      </c>
      <c r="W216" s="574" t="str">
        <f>VLOOKUP($A216,'Pre-Assessment Estimator'!$A$10:$Z$225,W$2,FALSE)</f>
        <v>N/A</v>
      </c>
      <c r="X216" s="577" t="str">
        <f>IF(VLOOKUP($A216,'Pre-Assessment Estimator'!$A$10:$Z$225,X$2,FALSE)=0,"",VLOOKUP($A216,'Pre-Assessment Estimator'!$A$10:$Z$225,X$2,FALSE))</f>
        <v/>
      </c>
      <c r="Y216" s="577" t="str">
        <f>IF(VLOOKUP($A216,'Pre-Assessment Estimator'!$A$10:$Z$225,Y$2,FALSE)=0,"",VLOOKUP($A216,'Pre-Assessment Estimator'!$A$10:$Z$225,Y$2,FALSE))</f>
        <v/>
      </c>
      <c r="Z216" s="370" t="str">
        <f>IF(VLOOKUP($A216,'Pre-Assessment Estimator'!$A$10:$Z$225,Z$2,FALSE)=0,"",VLOOKUP($A216,'Pre-Assessment Estimator'!$A$10:$Z$225,Z$2,FALSE))</f>
        <v/>
      </c>
      <c r="AA216" s="696">
        <v>206</v>
      </c>
      <c r="AB216" s="577"/>
      <c r="AF216" s="386">
        <f t="shared" si="4"/>
        <v>1</v>
      </c>
    </row>
    <row r="217" spans="1:32" x14ac:dyDescent="0.25">
      <c r="A217" s="823">
        <v>208</v>
      </c>
      <c r="B217" s="1236" t="s">
        <v>218</v>
      </c>
      <c r="C217" s="1236"/>
      <c r="D217" s="1263" t="str">
        <f>VLOOKUP($A217,'Pre-Assessment Estimator'!$A$10:$Z$225,D$2,FALSE)</f>
        <v>Exemplary Level</v>
      </c>
      <c r="E217" s="1259" t="str">
        <f>VLOOKUP($A217,'Pre-Assessment Estimator'!$A$10:$Z$225,E$2,FALSE)</f>
        <v>Inn 07 - Wat 01: Highly water efficient components</v>
      </c>
      <c r="F217" s="574">
        <f>VLOOKUP($A217,'Pre-Assessment Estimator'!$A$10:$Z$225,F$2,FALSE)</f>
        <v>1</v>
      </c>
      <c r="G217" s="580" t="str">
        <f>IF(VLOOKUP($A217,'Pre-Assessment Estimator'!$A$10:$Z$225,G$2,FALSE)=0,"",VLOOKUP($A217,'Pre-Assessment Estimator'!$A$10:$Z$225,G$2,FALSE))</f>
        <v/>
      </c>
      <c r="H217" s="1222">
        <f>VLOOKUP($A217,'Pre-Assessment Estimator'!$A$10:$Z$225,H$2,FALSE)</f>
        <v>0</v>
      </c>
      <c r="I217" s="576" t="str">
        <f>VLOOKUP($A217,'Pre-Assessment Estimator'!$A$10:$Z$225,I$2,FALSE)</f>
        <v>N/A</v>
      </c>
      <c r="J217" s="577" t="str">
        <f>IF(VLOOKUP($A217,'Pre-Assessment Estimator'!$A$10:$Z$225,J$2,FALSE)=0,"",VLOOKUP($A217,'Pre-Assessment Estimator'!$A$10:$Z$225,J$2,FALSE))</f>
        <v/>
      </c>
      <c r="K217" s="577" t="str">
        <f>IF(VLOOKUP($A217,'Pre-Assessment Estimator'!$A$10:$Z$225,K$2,FALSE)=0,"",VLOOKUP($A217,'Pre-Assessment Estimator'!$A$10:$Z$225,K$2,FALSE))</f>
        <v/>
      </c>
      <c r="L217" s="578" t="str">
        <f>IF(VLOOKUP($A217,'Pre-Assessment Estimator'!$A$10:$Z$225,L$2,FALSE)=0,"",VLOOKUP($A217,'Pre-Assessment Estimator'!$A$10:$Z$225,L$2,FALSE))</f>
        <v/>
      </c>
      <c r="M217" s="579"/>
      <c r="N217" s="580" t="str">
        <f>IF(VLOOKUP($A217,'Pre-Assessment Estimator'!$A$10:$Z$225,N$2,FALSE)=0,"",VLOOKUP($A217,'Pre-Assessment Estimator'!$A$10:$Z$225,N$2,FALSE))</f>
        <v/>
      </c>
      <c r="O217" s="575">
        <f>VLOOKUP($A217,'Pre-Assessment Estimator'!$A$10:$Z$225,O$2,FALSE)</f>
        <v>0</v>
      </c>
      <c r="P217" s="574" t="str">
        <f>VLOOKUP($A217,'Pre-Assessment Estimator'!$A$10:$Z$225,P$2,FALSE)</f>
        <v>N/A</v>
      </c>
      <c r="Q217" s="577" t="str">
        <f>IF(VLOOKUP($A217,'Pre-Assessment Estimator'!$A$10:$Z$225,Q$2,FALSE)=0,"",VLOOKUP($A217,'Pre-Assessment Estimator'!$A$10:$Z$225,Q$2,FALSE))</f>
        <v/>
      </c>
      <c r="R217" s="577" t="str">
        <f>IF(VLOOKUP($A217,'Pre-Assessment Estimator'!$A$10:$Z$225,R$2,FALSE)=0,"",VLOOKUP($A217,'Pre-Assessment Estimator'!$A$10:$Z$225,R$2,FALSE))</f>
        <v/>
      </c>
      <c r="S217" s="578" t="str">
        <f>IF(VLOOKUP($A217,'Pre-Assessment Estimator'!$A$10:$Z$225,S$2,FALSE)=0,"",VLOOKUP($A217,'Pre-Assessment Estimator'!$A$10:$Z$225,S$2,FALSE))</f>
        <v/>
      </c>
      <c r="T217" s="581"/>
      <c r="U217" s="580" t="str">
        <f>IF(VLOOKUP($A217,'Pre-Assessment Estimator'!$A$10:$Z$225,U$2,FALSE)=0,"",VLOOKUP($A217,'Pre-Assessment Estimator'!$A$10:$Z$225,U$2,FALSE))</f>
        <v/>
      </c>
      <c r="V217" s="575">
        <f>VLOOKUP($A217,'Pre-Assessment Estimator'!$A$10:$Z$225,V$2,FALSE)</f>
        <v>0</v>
      </c>
      <c r="W217" s="574" t="str">
        <f>VLOOKUP($A217,'Pre-Assessment Estimator'!$A$10:$Z$225,W$2,FALSE)</f>
        <v>N/A</v>
      </c>
      <c r="X217" s="577" t="str">
        <f>IF(VLOOKUP($A217,'Pre-Assessment Estimator'!$A$10:$Z$225,X$2,FALSE)=0,"",VLOOKUP($A217,'Pre-Assessment Estimator'!$A$10:$Z$225,X$2,FALSE))</f>
        <v/>
      </c>
      <c r="Y217" s="577" t="str">
        <f>IF(VLOOKUP($A217,'Pre-Assessment Estimator'!$A$10:$Z$225,Y$2,FALSE)=0,"",VLOOKUP($A217,'Pre-Assessment Estimator'!$A$10:$Z$225,Y$2,FALSE))</f>
        <v/>
      </c>
      <c r="Z217" s="370" t="str">
        <f>IF(VLOOKUP($A217,'Pre-Assessment Estimator'!$A$10:$Z$225,Z$2,FALSE)=0,"",VLOOKUP($A217,'Pre-Assessment Estimator'!$A$10:$Z$225,Z$2,FALSE))</f>
        <v/>
      </c>
      <c r="AA217" s="696">
        <v>207</v>
      </c>
      <c r="AB217" s="577" t="str">
        <f>IF(VLOOKUP($A217,'Pre-Assessment Estimator'!$A$10:$AB$225,AB$2,FALSE)=0,"",VLOOKUP($A217,'Pre-Assessment Estimator'!$A$10:$AB$225,AB$2,FALSE))</f>
        <v/>
      </c>
      <c r="AF217" s="386">
        <f t="shared" si="4"/>
        <v>1</v>
      </c>
    </row>
    <row r="218" spans="1:32" x14ac:dyDescent="0.25">
      <c r="A218" s="823">
        <v>209</v>
      </c>
      <c r="B218" s="1236" t="s">
        <v>218</v>
      </c>
      <c r="C218" s="1236"/>
      <c r="D218" s="1263" t="str">
        <f>VLOOKUP($A218,'Pre-Assessment Estimator'!$A$10:$Z$225,D$2,FALSE)</f>
        <v>Exemplary Level</v>
      </c>
      <c r="E218" s="1259" t="str">
        <f>VLOOKUP($A218,'Pre-Assessment Estimator'!$A$10:$Z$225,E$2,FALSE)</f>
        <v xml:space="preserve">Inn 08 - Mat 01: 60% reduction of greenhouse gas emission </v>
      </c>
      <c r="F218" s="574">
        <f>VLOOKUP($A218,'Pre-Assessment Estimator'!$A$10:$Z$225,F$2,FALSE)</f>
        <v>1</v>
      </c>
      <c r="G218" s="580" t="str">
        <f>IF(VLOOKUP($A218,'Pre-Assessment Estimator'!$A$10:$Z$225,G$2,FALSE)=0,"",VLOOKUP($A218,'Pre-Assessment Estimator'!$A$10:$Z$225,G$2,FALSE))</f>
        <v/>
      </c>
      <c r="H218" s="1222">
        <f>VLOOKUP($A218,'Pre-Assessment Estimator'!$A$10:$Z$225,H$2,FALSE)</f>
        <v>0</v>
      </c>
      <c r="I218" s="576" t="str">
        <f>VLOOKUP($A218,'Pre-Assessment Estimator'!$A$10:$Z$225,I$2,FALSE)</f>
        <v>N/A</v>
      </c>
      <c r="J218" s="577" t="str">
        <f>IF(VLOOKUP($A218,'Pre-Assessment Estimator'!$A$10:$Z$225,J$2,FALSE)=0,"",VLOOKUP($A218,'Pre-Assessment Estimator'!$A$10:$Z$225,J$2,FALSE))</f>
        <v/>
      </c>
      <c r="K218" s="577" t="str">
        <f>IF(VLOOKUP($A218,'Pre-Assessment Estimator'!$A$10:$Z$225,K$2,FALSE)=0,"",VLOOKUP($A218,'Pre-Assessment Estimator'!$A$10:$Z$225,K$2,FALSE))</f>
        <v/>
      </c>
      <c r="L218" s="578" t="str">
        <f>IF(VLOOKUP($A218,'Pre-Assessment Estimator'!$A$10:$Z$225,L$2,FALSE)=0,"",VLOOKUP($A218,'Pre-Assessment Estimator'!$A$10:$Z$225,L$2,FALSE))</f>
        <v/>
      </c>
      <c r="M218" s="579"/>
      <c r="N218" s="580" t="str">
        <f>IF(VLOOKUP($A218,'Pre-Assessment Estimator'!$A$10:$Z$225,N$2,FALSE)=0,"",VLOOKUP($A218,'Pre-Assessment Estimator'!$A$10:$Z$225,N$2,FALSE))</f>
        <v/>
      </c>
      <c r="O218" s="575">
        <f>VLOOKUP($A218,'Pre-Assessment Estimator'!$A$10:$Z$225,O$2,FALSE)</f>
        <v>0</v>
      </c>
      <c r="P218" s="574" t="str">
        <f>VLOOKUP($A218,'Pre-Assessment Estimator'!$A$10:$Z$225,P$2,FALSE)</f>
        <v>N/A</v>
      </c>
      <c r="Q218" s="577" t="str">
        <f>IF(VLOOKUP($A218,'Pre-Assessment Estimator'!$A$10:$Z$225,Q$2,FALSE)=0,"",VLOOKUP($A218,'Pre-Assessment Estimator'!$A$10:$Z$225,Q$2,FALSE))</f>
        <v/>
      </c>
      <c r="R218" s="577" t="str">
        <f>IF(VLOOKUP($A218,'Pre-Assessment Estimator'!$A$10:$Z$225,R$2,FALSE)=0,"",VLOOKUP($A218,'Pre-Assessment Estimator'!$A$10:$Z$225,R$2,FALSE))</f>
        <v/>
      </c>
      <c r="S218" s="578" t="str">
        <f>IF(VLOOKUP($A218,'Pre-Assessment Estimator'!$A$10:$Z$225,S$2,FALSE)=0,"",VLOOKUP($A218,'Pre-Assessment Estimator'!$A$10:$Z$225,S$2,FALSE))</f>
        <v/>
      </c>
      <c r="T218" s="581"/>
      <c r="U218" s="580" t="str">
        <f>IF(VLOOKUP($A218,'Pre-Assessment Estimator'!$A$10:$Z$225,U$2,FALSE)=0,"",VLOOKUP($A218,'Pre-Assessment Estimator'!$A$10:$Z$225,U$2,FALSE))</f>
        <v/>
      </c>
      <c r="V218" s="575">
        <f>VLOOKUP($A218,'Pre-Assessment Estimator'!$A$10:$Z$225,V$2,FALSE)</f>
        <v>0</v>
      </c>
      <c r="W218" s="574" t="str">
        <f>VLOOKUP($A218,'Pre-Assessment Estimator'!$A$10:$Z$225,W$2,FALSE)</f>
        <v>N/A</v>
      </c>
      <c r="X218" s="577" t="str">
        <f>IF(VLOOKUP($A218,'Pre-Assessment Estimator'!$A$10:$Z$225,X$2,FALSE)=0,"",VLOOKUP($A218,'Pre-Assessment Estimator'!$A$10:$Z$225,X$2,FALSE))</f>
        <v/>
      </c>
      <c r="Y218" s="577" t="str">
        <f>IF(VLOOKUP($A218,'Pre-Assessment Estimator'!$A$10:$Z$225,Y$2,FALSE)=0,"",VLOOKUP($A218,'Pre-Assessment Estimator'!$A$10:$Z$225,Y$2,FALSE))</f>
        <v/>
      </c>
      <c r="Z218" s="370" t="str">
        <f>IF(VLOOKUP($A218,'Pre-Assessment Estimator'!$A$10:$Z$225,Z$2,FALSE)=0,"",VLOOKUP($A218,'Pre-Assessment Estimator'!$A$10:$Z$225,Z$2,FALSE))</f>
        <v/>
      </c>
      <c r="AA218" s="696">
        <v>208</v>
      </c>
      <c r="AB218" s="577" t="str">
        <f>IF(VLOOKUP($A218,'Pre-Assessment Estimator'!$A$10:$AB$225,AB$2,FALSE)=0,"",VLOOKUP($A218,'Pre-Assessment Estimator'!$A$10:$AB$225,AB$2,FALSE))</f>
        <v/>
      </c>
      <c r="AF218" s="386">
        <f t="shared" si="4"/>
        <v>1</v>
      </c>
    </row>
    <row r="219" spans="1:32" ht="30" x14ac:dyDescent="0.25">
      <c r="A219" s="823">
        <v>210</v>
      </c>
      <c r="B219" s="1236" t="s">
        <v>218</v>
      </c>
      <c r="C219" s="1236"/>
      <c r="D219" s="1263" t="str">
        <f>VLOOKUP($A219,'Pre-Assessment Estimator'!$A$10:$Z$225,D$2,FALSE)</f>
        <v>Exemplary Level</v>
      </c>
      <c r="E219" s="1259" t="str">
        <f>VLOOKUP($A219,'Pre-Assessment Estimator'!$A$10:$Z$225,E$2,FALSE)</f>
        <v>Inn 09 - Mat 06: FutureBuilt criteria set for circular buildings, point 2.3 reuse of building components</v>
      </c>
      <c r="F219" s="574">
        <f>VLOOKUP($A219,'Pre-Assessment Estimator'!$A$10:$Z$225,F$2,FALSE)</f>
        <v>1</v>
      </c>
      <c r="G219" s="580" t="str">
        <f>IF(VLOOKUP($A219,'Pre-Assessment Estimator'!$A$10:$Z$225,G$2,FALSE)=0,"",VLOOKUP($A219,'Pre-Assessment Estimator'!$A$10:$Z$225,G$2,FALSE))</f>
        <v/>
      </c>
      <c r="H219" s="1222">
        <f>VLOOKUP($A219,'Pre-Assessment Estimator'!$A$10:$Z$225,H$2,FALSE)</f>
        <v>0</v>
      </c>
      <c r="I219" s="576" t="str">
        <f>VLOOKUP($A219,'Pre-Assessment Estimator'!$A$10:$Z$225,I$2,FALSE)</f>
        <v>N/A</v>
      </c>
      <c r="J219" s="577" t="str">
        <f>IF(VLOOKUP($A219,'Pre-Assessment Estimator'!$A$10:$Z$225,J$2,FALSE)=0,"",VLOOKUP($A219,'Pre-Assessment Estimator'!$A$10:$Z$225,J$2,FALSE))</f>
        <v/>
      </c>
      <c r="K219" s="577" t="str">
        <f>IF(VLOOKUP($A219,'Pre-Assessment Estimator'!$A$10:$Z$225,K$2,FALSE)=0,"",VLOOKUP($A219,'Pre-Assessment Estimator'!$A$10:$Z$225,K$2,FALSE))</f>
        <v/>
      </c>
      <c r="L219" s="578" t="str">
        <f>IF(VLOOKUP($A219,'Pre-Assessment Estimator'!$A$10:$Z$225,L$2,FALSE)=0,"",VLOOKUP($A219,'Pre-Assessment Estimator'!$A$10:$Z$225,L$2,FALSE))</f>
        <v/>
      </c>
      <c r="M219" s="579"/>
      <c r="N219" s="580" t="str">
        <f>IF(VLOOKUP($A219,'Pre-Assessment Estimator'!$A$10:$Z$225,N$2,FALSE)=0,"",VLOOKUP($A219,'Pre-Assessment Estimator'!$A$10:$Z$225,N$2,FALSE))</f>
        <v/>
      </c>
      <c r="O219" s="575">
        <f>VLOOKUP($A219,'Pre-Assessment Estimator'!$A$10:$Z$225,O$2,FALSE)</f>
        <v>0</v>
      </c>
      <c r="P219" s="574" t="str">
        <f>VLOOKUP($A219,'Pre-Assessment Estimator'!$A$10:$Z$225,P$2,FALSE)</f>
        <v>N/A</v>
      </c>
      <c r="Q219" s="577" t="str">
        <f>IF(VLOOKUP($A219,'Pre-Assessment Estimator'!$A$10:$Z$225,Q$2,FALSE)=0,"",VLOOKUP($A219,'Pre-Assessment Estimator'!$A$10:$Z$225,Q$2,FALSE))</f>
        <v/>
      </c>
      <c r="R219" s="577" t="str">
        <f>IF(VLOOKUP($A219,'Pre-Assessment Estimator'!$A$10:$Z$225,R$2,FALSE)=0,"",VLOOKUP($A219,'Pre-Assessment Estimator'!$A$10:$Z$225,R$2,FALSE))</f>
        <v/>
      </c>
      <c r="S219" s="578" t="str">
        <f>IF(VLOOKUP($A219,'Pre-Assessment Estimator'!$A$10:$Z$225,S$2,FALSE)=0,"",VLOOKUP($A219,'Pre-Assessment Estimator'!$A$10:$Z$225,S$2,FALSE))</f>
        <v/>
      </c>
      <c r="T219" s="581"/>
      <c r="U219" s="580" t="str">
        <f>IF(VLOOKUP($A219,'Pre-Assessment Estimator'!$A$10:$Z$225,U$2,FALSE)=0,"",VLOOKUP($A219,'Pre-Assessment Estimator'!$A$10:$Z$225,U$2,FALSE))</f>
        <v/>
      </c>
      <c r="V219" s="575">
        <f>VLOOKUP($A219,'Pre-Assessment Estimator'!$A$10:$Z$225,V$2,FALSE)</f>
        <v>0</v>
      </c>
      <c r="W219" s="574" t="str">
        <f>VLOOKUP($A219,'Pre-Assessment Estimator'!$A$10:$Z$225,W$2,FALSE)</f>
        <v>N/A</v>
      </c>
      <c r="X219" s="577" t="str">
        <f>IF(VLOOKUP($A219,'Pre-Assessment Estimator'!$A$10:$Z$225,X$2,FALSE)=0,"",VLOOKUP($A219,'Pre-Assessment Estimator'!$A$10:$Z$225,X$2,FALSE))</f>
        <v/>
      </c>
      <c r="Y219" s="577" t="str">
        <f>IF(VLOOKUP($A219,'Pre-Assessment Estimator'!$A$10:$Z$225,Y$2,FALSE)=0,"",VLOOKUP($A219,'Pre-Assessment Estimator'!$A$10:$Z$225,Y$2,FALSE))</f>
        <v/>
      </c>
      <c r="Z219" s="370" t="str">
        <f>IF(VLOOKUP($A219,'Pre-Assessment Estimator'!$A$10:$Z$225,Z$2,FALSE)=0,"",VLOOKUP($A219,'Pre-Assessment Estimator'!$A$10:$Z$225,Z$2,FALSE))</f>
        <v/>
      </c>
      <c r="AA219" s="696">
        <v>209</v>
      </c>
      <c r="AB219" s="577" t="str">
        <f>IF(VLOOKUP($A219,'Pre-Assessment Estimator'!$A$10:$AB$225,AB$2,FALSE)=0,"",VLOOKUP($A219,'Pre-Assessment Estimator'!$A$10:$AB$225,AB$2,FALSE))</f>
        <v/>
      </c>
      <c r="AF219" s="386">
        <f t="shared" si="4"/>
        <v>1</v>
      </c>
    </row>
    <row r="220" spans="1:32" x14ac:dyDescent="0.25">
      <c r="A220" s="823">
        <v>211</v>
      </c>
      <c r="B220" s="1236" t="s">
        <v>218</v>
      </c>
      <c r="C220" s="1236"/>
      <c r="D220" s="1263" t="str">
        <f>VLOOKUP($A220,'Pre-Assessment Estimator'!$A$10:$Z$225,D$2,FALSE)</f>
        <v>Exemplary Level</v>
      </c>
      <c r="E220" s="1259" t="str">
        <f>VLOOKUP($A220,'Pre-Assessment Estimator'!$A$10:$Z$225,E$2,FALSE)</f>
        <v xml:space="preserve">Inn 10 - Wst 01: Especially low amount of construction waste </v>
      </c>
      <c r="F220" s="574">
        <f>VLOOKUP($A220,'Pre-Assessment Estimator'!$A$10:$Z$225,F$2,FALSE)</f>
        <v>1</v>
      </c>
      <c r="G220" s="580" t="str">
        <f>IF(VLOOKUP($A220,'Pre-Assessment Estimator'!$A$10:$Z$225,G$2,FALSE)=0,"",VLOOKUP($A220,'Pre-Assessment Estimator'!$A$10:$Z$225,G$2,FALSE))</f>
        <v/>
      </c>
      <c r="H220" s="1222">
        <f>VLOOKUP($A220,'Pre-Assessment Estimator'!$A$10:$Z$225,H$2,FALSE)</f>
        <v>0</v>
      </c>
      <c r="I220" s="576" t="str">
        <f>VLOOKUP($A220,'Pre-Assessment Estimator'!$A$10:$Z$225,I$2,FALSE)</f>
        <v>N/A</v>
      </c>
      <c r="J220" s="577" t="str">
        <f>IF(VLOOKUP($A220,'Pre-Assessment Estimator'!$A$10:$Z$225,J$2,FALSE)=0,"",VLOOKUP($A220,'Pre-Assessment Estimator'!$A$10:$Z$225,J$2,FALSE))</f>
        <v/>
      </c>
      <c r="K220" s="577" t="str">
        <f>IF(VLOOKUP($A220,'Pre-Assessment Estimator'!$A$10:$Z$225,K$2,FALSE)=0,"",VLOOKUP($A220,'Pre-Assessment Estimator'!$A$10:$Z$225,K$2,FALSE))</f>
        <v/>
      </c>
      <c r="L220" s="578" t="str">
        <f>IF(VLOOKUP($A220,'Pre-Assessment Estimator'!$A$10:$Z$225,L$2,FALSE)=0,"",VLOOKUP($A220,'Pre-Assessment Estimator'!$A$10:$Z$225,L$2,FALSE))</f>
        <v/>
      </c>
      <c r="M220" s="579"/>
      <c r="N220" s="580" t="str">
        <f>IF(VLOOKUP($A220,'Pre-Assessment Estimator'!$A$10:$Z$225,N$2,FALSE)=0,"",VLOOKUP($A220,'Pre-Assessment Estimator'!$A$10:$Z$225,N$2,FALSE))</f>
        <v/>
      </c>
      <c r="O220" s="575">
        <f>VLOOKUP($A220,'Pre-Assessment Estimator'!$A$10:$Z$225,O$2,FALSE)</f>
        <v>0</v>
      </c>
      <c r="P220" s="574" t="str">
        <f>VLOOKUP($A220,'Pre-Assessment Estimator'!$A$10:$Z$225,P$2,FALSE)</f>
        <v>N/A</v>
      </c>
      <c r="Q220" s="577" t="str">
        <f>IF(VLOOKUP($A220,'Pre-Assessment Estimator'!$A$10:$Z$225,Q$2,FALSE)=0,"",VLOOKUP($A220,'Pre-Assessment Estimator'!$A$10:$Z$225,Q$2,FALSE))</f>
        <v/>
      </c>
      <c r="R220" s="577" t="str">
        <f>IF(VLOOKUP($A220,'Pre-Assessment Estimator'!$A$10:$Z$225,R$2,FALSE)=0,"",VLOOKUP($A220,'Pre-Assessment Estimator'!$A$10:$Z$225,R$2,FALSE))</f>
        <v/>
      </c>
      <c r="S220" s="578" t="str">
        <f>IF(VLOOKUP($A220,'Pre-Assessment Estimator'!$A$10:$Z$225,S$2,FALSE)=0,"",VLOOKUP($A220,'Pre-Assessment Estimator'!$A$10:$Z$225,S$2,FALSE))</f>
        <v/>
      </c>
      <c r="T220" s="581"/>
      <c r="U220" s="580" t="str">
        <f>IF(VLOOKUP($A220,'Pre-Assessment Estimator'!$A$10:$Z$225,U$2,FALSE)=0,"",VLOOKUP($A220,'Pre-Assessment Estimator'!$A$10:$Z$225,U$2,FALSE))</f>
        <v/>
      </c>
      <c r="V220" s="575">
        <f>VLOOKUP($A220,'Pre-Assessment Estimator'!$A$10:$Z$225,V$2,FALSE)</f>
        <v>0</v>
      </c>
      <c r="W220" s="574" t="str">
        <f>VLOOKUP($A220,'Pre-Assessment Estimator'!$A$10:$Z$225,W$2,FALSE)</f>
        <v>N/A</v>
      </c>
      <c r="X220" s="577" t="str">
        <f>IF(VLOOKUP($A220,'Pre-Assessment Estimator'!$A$10:$Z$225,X$2,FALSE)=0,"",VLOOKUP($A220,'Pre-Assessment Estimator'!$A$10:$Z$225,X$2,FALSE))</f>
        <v/>
      </c>
      <c r="Y220" s="577" t="str">
        <f>IF(VLOOKUP($A220,'Pre-Assessment Estimator'!$A$10:$Z$225,Y$2,FALSE)=0,"",VLOOKUP($A220,'Pre-Assessment Estimator'!$A$10:$Z$225,Y$2,FALSE))</f>
        <v/>
      </c>
      <c r="Z220" s="370" t="str">
        <f>IF(VLOOKUP($A220,'Pre-Assessment Estimator'!$A$10:$Z$225,Z$2,FALSE)=0,"",VLOOKUP($A220,'Pre-Assessment Estimator'!$A$10:$Z$225,Z$2,FALSE))</f>
        <v/>
      </c>
      <c r="AA220" s="696">
        <v>210</v>
      </c>
      <c r="AB220" s="577" t="str">
        <f>IF(VLOOKUP($A220,'Pre-Assessment Estimator'!$A$10:$AB$225,AB$2,FALSE)=0,"",VLOOKUP($A220,'Pre-Assessment Estimator'!$A$10:$AB$225,AB$2,FALSE))</f>
        <v/>
      </c>
      <c r="AF220" s="386">
        <f t="shared" si="4"/>
        <v>1</v>
      </c>
    </row>
    <row r="221" spans="1:32" x14ac:dyDescent="0.25">
      <c r="A221" s="823">
        <v>212</v>
      </c>
      <c r="B221" s="1236" t="s">
        <v>218</v>
      </c>
      <c r="C221" s="1236"/>
      <c r="D221" s="1263" t="str">
        <f>VLOOKUP($A221,'Pre-Assessment Estimator'!$A$10:$Z$225,D$2,FALSE)</f>
        <v>Exemplary Level</v>
      </c>
      <c r="E221" s="1259" t="str">
        <f>VLOOKUP($A221,'Pre-Assessment Estimator'!$A$10:$Z$225,E$2,FALSE)</f>
        <v>Inn 11 - LE 02: Wider sustainability for the site</v>
      </c>
      <c r="F221" s="574">
        <f>VLOOKUP($A221,'Pre-Assessment Estimator'!$A$10:$Z$225,F$2,FALSE)</f>
        <v>1</v>
      </c>
      <c r="G221" s="580" t="str">
        <f>IF(VLOOKUP($A221,'Pre-Assessment Estimator'!$A$10:$Z$225,G$2,FALSE)=0,"",VLOOKUP($A221,'Pre-Assessment Estimator'!$A$10:$Z$225,G$2,FALSE))</f>
        <v/>
      </c>
      <c r="H221" s="1222">
        <f>VLOOKUP($A221,'Pre-Assessment Estimator'!$A$10:$Z$225,H$2,FALSE)</f>
        <v>0</v>
      </c>
      <c r="I221" s="576" t="str">
        <f>VLOOKUP($A221,'Pre-Assessment Estimator'!$A$10:$Z$225,I$2,FALSE)</f>
        <v>N/A</v>
      </c>
      <c r="J221" s="577" t="str">
        <f>IF(VLOOKUP($A221,'Pre-Assessment Estimator'!$A$10:$Z$225,J$2,FALSE)=0,"",VLOOKUP($A221,'Pre-Assessment Estimator'!$A$10:$Z$225,J$2,FALSE))</f>
        <v/>
      </c>
      <c r="K221" s="577" t="str">
        <f>IF(VLOOKUP($A221,'Pre-Assessment Estimator'!$A$10:$Z$225,K$2,FALSE)=0,"",VLOOKUP($A221,'Pre-Assessment Estimator'!$A$10:$Z$225,K$2,FALSE))</f>
        <v/>
      </c>
      <c r="L221" s="578" t="str">
        <f>IF(VLOOKUP($A221,'Pre-Assessment Estimator'!$A$10:$Z$225,L$2,FALSE)=0,"",VLOOKUP($A221,'Pre-Assessment Estimator'!$A$10:$Z$225,L$2,FALSE))</f>
        <v/>
      </c>
      <c r="M221" s="579"/>
      <c r="N221" s="580" t="str">
        <f>IF(VLOOKUP($A221,'Pre-Assessment Estimator'!$A$10:$Z$225,N$2,FALSE)=0,"",VLOOKUP($A221,'Pre-Assessment Estimator'!$A$10:$Z$225,N$2,FALSE))</f>
        <v/>
      </c>
      <c r="O221" s="575">
        <f>VLOOKUP($A221,'Pre-Assessment Estimator'!$A$10:$Z$225,O$2,FALSE)</f>
        <v>0</v>
      </c>
      <c r="P221" s="574" t="str">
        <f>VLOOKUP($A221,'Pre-Assessment Estimator'!$A$10:$Z$225,P$2,FALSE)</f>
        <v>N/A</v>
      </c>
      <c r="Q221" s="577" t="str">
        <f>IF(VLOOKUP($A221,'Pre-Assessment Estimator'!$A$10:$Z$225,Q$2,FALSE)=0,"",VLOOKUP($A221,'Pre-Assessment Estimator'!$A$10:$Z$225,Q$2,FALSE))</f>
        <v/>
      </c>
      <c r="R221" s="577" t="str">
        <f>IF(VLOOKUP($A221,'Pre-Assessment Estimator'!$A$10:$Z$225,R$2,FALSE)=0,"",VLOOKUP($A221,'Pre-Assessment Estimator'!$A$10:$Z$225,R$2,FALSE))</f>
        <v/>
      </c>
      <c r="S221" s="578" t="str">
        <f>IF(VLOOKUP($A221,'Pre-Assessment Estimator'!$A$10:$Z$225,S$2,FALSE)=0,"",VLOOKUP($A221,'Pre-Assessment Estimator'!$A$10:$Z$225,S$2,FALSE))</f>
        <v/>
      </c>
      <c r="T221" s="581"/>
      <c r="U221" s="580" t="str">
        <f>IF(VLOOKUP($A221,'Pre-Assessment Estimator'!$A$10:$Z$225,U$2,FALSE)=0,"",VLOOKUP($A221,'Pre-Assessment Estimator'!$A$10:$Z$225,U$2,FALSE))</f>
        <v/>
      </c>
      <c r="V221" s="575">
        <f>VLOOKUP($A221,'Pre-Assessment Estimator'!$A$10:$Z$225,V$2,FALSE)</f>
        <v>0</v>
      </c>
      <c r="W221" s="574" t="str">
        <f>VLOOKUP($A221,'Pre-Assessment Estimator'!$A$10:$Z$225,W$2,FALSE)</f>
        <v>N/A</v>
      </c>
      <c r="X221" s="577" t="str">
        <f>IF(VLOOKUP($A221,'Pre-Assessment Estimator'!$A$10:$Z$225,X$2,FALSE)=0,"",VLOOKUP($A221,'Pre-Assessment Estimator'!$A$10:$Z$225,X$2,FALSE))</f>
        <v/>
      </c>
      <c r="Y221" s="577" t="str">
        <f>IF(VLOOKUP($A221,'Pre-Assessment Estimator'!$A$10:$Z$225,Y$2,FALSE)=0,"",VLOOKUP($A221,'Pre-Assessment Estimator'!$A$10:$Z$225,Y$2,FALSE))</f>
        <v/>
      </c>
      <c r="Z221" s="370" t="str">
        <f>IF(VLOOKUP($A221,'Pre-Assessment Estimator'!$A$10:$Z$225,Z$2,FALSE)=0,"",VLOOKUP($A221,'Pre-Assessment Estimator'!$A$10:$Z$225,Z$2,FALSE))</f>
        <v/>
      </c>
      <c r="AA221" s="696">
        <v>211</v>
      </c>
      <c r="AB221" s="577" t="str">
        <f>IF(VLOOKUP($A221,'Pre-Assessment Estimator'!$A$10:$AB$225,AB$2,FALSE)=0,"",VLOOKUP($A221,'Pre-Assessment Estimator'!$A$10:$AB$225,AB$2,FALSE))</f>
        <v/>
      </c>
      <c r="AF221" s="386">
        <f t="shared" si="4"/>
        <v>1</v>
      </c>
    </row>
    <row r="222" spans="1:32" x14ac:dyDescent="0.25">
      <c r="A222" s="823">
        <v>213</v>
      </c>
      <c r="B222" s="1236" t="s">
        <v>218</v>
      </c>
      <c r="C222" s="1236"/>
      <c r="D222" s="1263" t="str">
        <f>VLOOKUP($A222,'Pre-Assessment Estimator'!$A$10:$Z$225,D$2,FALSE)</f>
        <v>Exemplary Level</v>
      </c>
      <c r="E222" s="1259" t="str">
        <f>VLOOKUP($A222,'Pre-Assessment Estimator'!$A$10:$Z$225,E$2,FALSE)</f>
        <v>Inn 12 - LE 04: Significant net gain of biodiversity</v>
      </c>
      <c r="F222" s="574">
        <f>VLOOKUP($A222,'Pre-Assessment Estimator'!$A$10:$Z$225,F$2,FALSE)</f>
        <v>1</v>
      </c>
      <c r="G222" s="580" t="str">
        <f>IF(VLOOKUP($A222,'Pre-Assessment Estimator'!$A$10:$Z$225,G$2,FALSE)=0,"",VLOOKUP($A222,'Pre-Assessment Estimator'!$A$10:$Z$225,G$2,FALSE))</f>
        <v/>
      </c>
      <c r="H222" s="1222">
        <f>VLOOKUP($A222,'Pre-Assessment Estimator'!$A$10:$Z$225,H$2,FALSE)</f>
        <v>0</v>
      </c>
      <c r="I222" s="576" t="str">
        <f>VLOOKUP($A222,'Pre-Assessment Estimator'!$A$10:$Z$225,I$2,FALSE)</f>
        <v>N/A</v>
      </c>
      <c r="J222" s="577" t="str">
        <f>IF(VLOOKUP($A222,'Pre-Assessment Estimator'!$A$10:$Z$225,J$2,FALSE)=0,"",VLOOKUP($A222,'Pre-Assessment Estimator'!$A$10:$Z$225,J$2,FALSE))</f>
        <v/>
      </c>
      <c r="K222" s="577" t="str">
        <f>IF(VLOOKUP($A222,'Pre-Assessment Estimator'!$A$10:$Z$225,K$2,FALSE)=0,"",VLOOKUP($A222,'Pre-Assessment Estimator'!$A$10:$Z$225,K$2,FALSE))</f>
        <v/>
      </c>
      <c r="L222" s="578" t="str">
        <f>IF(VLOOKUP($A222,'Pre-Assessment Estimator'!$A$10:$Z$225,L$2,FALSE)=0,"",VLOOKUP($A222,'Pre-Assessment Estimator'!$A$10:$Z$225,L$2,FALSE))</f>
        <v/>
      </c>
      <c r="M222" s="579"/>
      <c r="N222" s="580" t="str">
        <f>IF(VLOOKUP($A222,'Pre-Assessment Estimator'!$A$10:$Z$225,N$2,FALSE)=0,"",VLOOKUP($A222,'Pre-Assessment Estimator'!$A$10:$Z$225,N$2,FALSE))</f>
        <v/>
      </c>
      <c r="O222" s="575">
        <f>VLOOKUP($A222,'Pre-Assessment Estimator'!$A$10:$Z$225,O$2,FALSE)</f>
        <v>0</v>
      </c>
      <c r="P222" s="574" t="str">
        <f>VLOOKUP($A222,'Pre-Assessment Estimator'!$A$10:$Z$225,P$2,FALSE)</f>
        <v>N/A</v>
      </c>
      <c r="Q222" s="577" t="str">
        <f>IF(VLOOKUP($A222,'Pre-Assessment Estimator'!$A$10:$Z$225,Q$2,FALSE)=0,"",VLOOKUP($A222,'Pre-Assessment Estimator'!$A$10:$Z$225,Q$2,FALSE))</f>
        <v/>
      </c>
      <c r="R222" s="577" t="str">
        <f>IF(VLOOKUP($A222,'Pre-Assessment Estimator'!$A$10:$Z$225,R$2,FALSE)=0,"",VLOOKUP($A222,'Pre-Assessment Estimator'!$A$10:$Z$225,R$2,FALSE))</f>
        <v/>
      </c>
      <c r="S222" s="578" t="str">
        <f>IF(VLOOKUP($A222,'Pre-Assessment Estimator'!$A$10:$Z$225,S$2,FALSE)=0,"",VLOOKUP($A222,'Pre-Assessment Estimator'!$A$10:$Z$225,S$2,FALSE))</f>
        <v/>
      </c>
      <c r="T222" s="581"/>
      <c r="U222" s="580" t="str">
        <f>IF(VLOOKUP($A222,'Pre-Assessment Estimator'!$A$10:$Z$225,U$2,FALSE)=0,"",VLOOKUP($A222,'Pre-Assessment Estimator'!$A$10:$Z$225,U$2,FALSE))</f>
        <v/>
      </c>
      <c r="V222" s="575">
        <f>VLOOKUP($A222,'Pre-Assessment Estimator'!$A$10:$Z$225,V$2,FALSE)</f>
        <v>0</v>
      </c>
      <c r="W222" s="574" t="str">
        <f>VLOOKUP($A222,'Pre-Assessment Estimator'!$A$10:$Z$225,W$2,FALSE)</f>
        <v>N/A</v>
      </c>
      <c r="X222" s="577" t="str">
        <f>IF(VLOOKUP($A222,'Pre-Assessment Estimator'!$A$10:$Z$225,X$2,FALSE)=0,"",VLOOKUP($A222,'Pre-Assessment Estimator'!$A$10:$Z$225,X$2,FALSE))</f>
        <v/>
      </c>
      <c r="Y222" s="577" t="str">
        <f>IF(VLOOKUP($A222,'Pre-Assessment Estimator'!$A$10:$Z$225,Y$2,FALSE)=0,"",VLOOKUP($A222,'Pre-Assessment Estimator'!$A$10:$Z$225,Y$2,FALSE))</f>
        <v/>
      </c>
      <c r="Z222" s="370" t="str">
        <f>IF(VLOOKUP($A222,'Pre-Assessment Estimator'!$A$10:$Z$225,Z$2,FALSE)=0,"",VLOOKUP($A222,'Pre-Assessment Estimator'!$A$10:$Z$225,Z$2,FALSE))</f>
        <v/>
      </c>
      <c r="AA222" s="696">
        <v>212</v>
      </c>
      <c r="AB222" s="577" t="str">
        <f>IF(VLOOKUP($A222,'Pre-Assessment Estimator'!$A$10:$AB$225,AB$2,FALSE)=0,"",VLOOKUP($A222,'Pre-Assessment Estimator'!$A$10:$AB$225,AB$2,FALSE))</f>
        <v/>
      </c>
      <c r="AF222" s="386">
        <f t="shared" si="4"/>
        <v>1</v>
      </c>
    </row>
    <row r="223" spans="1:32" x14ac:dyDescent="0.25">
      <c r="A223" s="823">
        <v>214</v>
      </c>
      <c r="B223" s="1236" t="s">
        <v>218</v>
      </c>
      <c r="C223" s="1236"/>
      <c r="D223" s="1263" t="str">
        <f>VLOOKUP($A223,'Pre-Assessment Estimator'!$A$10:$Z$225,D$2,FALSE)</f>
        <v>Exemplary Level</v>
      </c>
      <c r="E223" s="1259" t="str">
        <f>VLOOKUP($A223,'Pre-Assessment Estimator'!$A$10:$Z$225,E$2,FALSE)</f>
        <v>Inn 13 - LE 06: Responding to climate change</v>
      </c>
      <c r="F223" s="574">
        <f>VLOOKUP($A223,'Pre-Assessment Estimator'!$A$10:$Z$225,F$2,FALSE)</f>
        <v>1</v>
      </c>
      <c r="G223" s="580" t="str">
        <f>IF(VLOOKUP($A223,'Pre-Assessment Estimator'!$A$10:$Z$225,G$2,FALSE)=0,"",VLOOKUP($A223,'Pre-Assessment Estimator'!$A$10:$Z$225,G$2,FALSE))</f>
        <v/>
      </c>
      <c r="H223" s="1222">
        <f>VLOOKUP($A223,'Pre-Assessment Estimator'!$A$10:$Z$225,H$2,FALSE)</f>
        <v>0</v>
      </c>
      <c r="I223" s="576" t="str">
        <f>VLOOKUP($A223,'Pre-Assessment Estimator'!$A$10:$Z$225,I$2,FALSE)</f>
        <v>N/A</v>
      </c>
      <c r="J223" s="577" t="str">
        <f>IF(VLOOKUP($A223,'Pre-Assessment Estimator'!$A$10:$Z$225,J$2,FALSE)=0,"",VLOOKUP($A223,'Pre-Assessment Estimator'!$A$10:$Z$225,J$2,FALSE))</f>
        <v/>
      </c>
      <c r="K223" s="577" t="str">
        <f>IF(VLOOKUP($A223,'Pre-Assessment Estimator'!$A$10:$Z$225,K$2,FALSE)=0,"",VLOOKUP($A223,'Pre-Assessment Estimator'!$A$10:$Z$225,K$2,FALSE))</f>
        <v/>
      </c>
      <c r="L223" s="578" t="str">
        <f>IF(VLOOKUP($A223,'Pre-Assessment Estimator'!$A$10:$Z$225,L$2,FALSE)=0,"",VLOOKUP($A223,'Pre-Assessment Estimator'!$A$10:$Z$225,L$2,FALSE))</f>
        <v/>
      </c>
      <c r="M223" s="579"/>
      <c r="N223" s="580" t="str">
        <f>IF(VLOOKUP($A223,'Pre-Assessment Estimator'!$A$10:$Z$225,N$2,FALSE)=0,"",VLOOKUP($A223,'Pre-Assessment Estimator'!$A$10:$Z$225,N$2,FALSE))</f>
        <v/>
      </c>
      <c r="O223" s="575">
        <f>VLOOKUP($A223,'Pre-Assessment Estimator'!$A$10:$Z$225,O$2,FALSE)</f>
        <v>0</v>
      </c>
      <c r="P223" s="574" t="str">
        <f>VLOOKUP($A223,'Pre-Assessment Estimator'!$A$10:$Z$225,P$2,FALSE)</f>
        <v>N/A</v>
      </c>
      <c r="Q223" s="577" t="str">
        <f>IF(VLOOKUP($A223,'Pre-Assessment Estimator'!$A$10:$Z$225,Q$2,FALSE)=0,"",VLOOKUP($A223,'Pre-Assessment Estimator'!$A$10:$Z$225,Q$2,FALSE))</f>
        <v/>
      </c>
      <c r="R223" s="577" t="str">
        <f>IF(VLOOKUP($A223,'Pre-Assessment Estimator'!$A$10:$Z$225,R$2,FALSE)=0,"",VLOOKUP($A223,'Pre-Assessment Estimator'!$A$10:$Z$225,R$2,FALSE))</f>
        <v/>
      </c>
      <c r="S223" s="578" t="str">
        <f>IF(VLOOKUP($A223,'Pre-Assessment Estimator'!$A$10:$Z$225,S$2,FALSE)=0,"",VLOOKUP($A223,'Pre-Assessment Estimator'!$A$10:$Z$225,S$2,FALSE))</f>
        <v/>
      </c>
      <c r="T223" s="581"/>
      <c r="U223" s="580" t="str">
        <f>IF(VLOOKUP($A223,'Pre-Assessment Estimator'!$A$10:$Z$225,U$2,FALSE)=0,"",VLOOKUP($A223,'Pre-Assessment Estimator'!$A$10:$Z$225,U$2,FALSE))</f>
        <v/>
      </c>
      <c r="V223" s="575">
        <f>VLOOKUP($A223,'Pre-Assessment Estimator'!$A$10:$Z$225,V$2,FALSE)</f>
        <v>0</v>
      </c>
      <c r="W223" s="574" t="str">
        <f>VLOOKUP($A223,'Pre-Assessment Estimator'!$A$10:$Z$225,W$2,FALSE)</f>
        <v>N/A</v>
      </c>
      <c r="X223" s="577" t="str">
        <f>IF(VLOOKUP($A223,'Pre-Assessment Estimator'!$A$10:$Z$225,X$2,FALSE)=0,"",VLOOKUP($A223,'Pre-Assessment Estimator'!$A$10:$Z$225,X$2,FALSE))</f>
        <v/>
      </c>
      <c r="Y223" s="577" t="str">
        <f>IF(VLOOKUP($A223,'Pre-Assessment Estimator'!$A$10:$Z$225,Y$2,FALSE)=0,"",VLOOKUP($A223,'Pre-Assessment Estimator'!$A$10:$Z$225,Y$2,FALSE))</f>
        <v/>
      </c>
      <c r="Z223" s="370" t="str">
        <f>IF(VLOOKUP($A223,'Pre-Assessment Estimator'!$A$10:$Z$225,Z$2,FALSE)=0,"",VLOOKUP($A223,'Pre-Assessment Estimator'!$A$10:$Z$225,Z$2,FALSE))</f>
        <v/>
      </c>
      <c r="AA223" s="696">
        <v>213</v>
      </c>
      <c r="AB223" s="389"/>
      <c r="AC223" s="389"/>
      <c r="AD223" s="389"/>
      <c r="AE223" s="389"/>
    </row>
    <row r="224" spans="1:32" x14ac:dyDescent="0.25">
      <c r="A224" s="823">
        <v>215</v>
      </c>
      <c r="B224" s="1236" t="s">
        <v>218</v>
      </c>
      <c r="C224" s="1237"/>
      <c r="D224" s="1263" t="str">
        <f>VLOOKUP($A224,'Pre-Assessment Estimator'!$A$10:$Z$225,D$2,FALSE)</f>
        <v>Exemplary Level</v>
      </c>
      <c r="E224" s="1259" t="str">
        <f>VLOOKUP($A224,'Pre-Assessment Estimator'!$A$10:$Z$225,E$2,FALSE)</f>
        <v>Inn 14 - LE 08: Wider approach to surface water management</v>
      </c>
      <c r="F224" s="574">
        <f>VLOOKUP($A224,'Pre-Assessment Estimator'!$A$10:$Z$225,F$2,FALSE)</f>
        <v>1</v>
      </c>
      <c r="G224" s="580" t="str">
        <f>IF(VLOOKUP($A224,'Pre-Assessment Estimator'!$A$10:$Z$225,G$2,FALSE)=0,"",VLOOKUP($A224,'Pre-Assessment Estimator'!$A$10:$Z$225,G$2,FALSE))</f>
        <v/>
      </c>
      <c r="H224" s="1222">
        <f>VLOOKUP($A224,'Pre-Assessment Estimator'!$A$10:$Z$225,H$2,FALSE)</f>
        <v>0</v>
      </c>
      <c r="I224" s="576" t="str">
        <f>VLOOKUP($A224,'Pre-Assessment Estimator'!$A$10:$Z$225,I$2,FALSE)</f>
        <v>N/A</v>
      </c>
      <c r="J224" s="577" t="str">
        <f>IF(VLOOKUP($A224,'Pre-Assessment Estimator'!$A$10:$Z$225,J$2,FALSE)=0,"",VLOOKUP($A224,'Pre-Assessment Estimator'!$A$10:$Z$225,J$2,FALSE))</f>
        <v/>
      </c>
      <c r="K224" s="577" t="str">
        <f>IF(VLOOKUP($A224,'Pre-Assessment Estimator'!$A$10:$Z$225,K$2,FALSE)=0,"",VLOOKUP($A224,'Pre-Assessment Estimator'!$A$10:$Z$225,K$2,FALSE))</f>
        <v/>
      </c>
      <c r="L224" s="578" t="str">
        <f>IF(VLOOKUP($A224,'Pre-Assessment Estimator'!$A$10:$Z$225,L$2,FALSE)=0,"",VLOOKUP($A224,'Pre-Assessment Estimator'!$A$10:$Z$225,L$2,FALSE))</f>
        <v/>
      </c>
      <c r="M224" s="579"/>
      <c r="N224" s="580" t="str">
        <f>IF(VLOOKUP($A224,'Pre-Assessment Estimator'!$A$10:$Z$225,N$2,FALSE)=0,"",VLOOKUP($A224,'Pre-Assessment Estimator'!$A$10:$Z$225,N$2,FALSE))</f>
        <v/>
      </c>
      <c r="O224" s="575">
        <f>VLOOKUP($A224,'Pre-Assessment Estimator'!$A$10:$Z$225,O$2,FALSE)</f>
        <v>0</v>
      </c>
      <c r="P224" s="574" t="str">
        <f>VLOOKUP($A224,'Pre-Assessment Estimator'!$A$10:$Z$225,P$2,FALSE)</f>
        <v>N/A</v>
      </c>
      <c r="Q224" s="577" t="str">
        <f>IF(VLOOKUP($A224,'Pre-Assessment Estimator'!$A$10:$Z$225,Q$2,FALSE)=0,"",VLOOKUP($A224,'Pre-Assessment Estimator'!$A$10:$Z$225,Q$2,FALSE))</f>
        <v/>
      </c>
      <c r="R224" s="577" t="str">
        <f>IF(VLOOKUP($A224,'Pre-Assessment Estimator'!$A$10:$Z$225,R$2,FALSE)=0,"",VLOOKUP($A224,'Pre-Assessment Estimator'!$A$10:$Z$225,R$2,FALSE))</f>
        <v/>
      </c>
      <c r="S224" s="578" t="str">
        <f>IF(VLOOKUP($A224,'Pre-Assessment Estimator'!$A$10:$Z$225,S$2,FALSE)=0,"",VLOOKUP($A224,'Pre-Assessment Estimator'!$A$10:$Z$225,S$2,FALSE))</f>
        <v/>
      </c>
      <c r="T224" s="581"/>
      <c r="U224" s="580" t="str">
        <f>IF(VLOOKUP($A224,'Pre-Assessment Estimator'!$A$10:$Z$225,U$2,FALSE)=0,"",VLOOKUP($A224,'Pre-Assessment Estimator'!$A$10:$Z$225,U$2,FALSE))</f>
        <v/>
      </c>
      <c r="V224" s="575">
        <f>VLOOKUP($A224,'Pre-Assessment Estimator'!$A$10:$Z$225,V$2,FALSE)</f>
        <v>0</v>
      </c>
      <c r="W224" s="574" t="str">
        <f>VLOOKUP($A224,'Pre-Assessment Estimator'!$A$10:$Z$225,W$2,FALSE)</f>
        <v>N/A</v>
      </c>
      <c r="X224" s="577" t="str">
        <f>IF(VLOOKUP($A224,'Pre-Assessment Estimator'!$A$10:$Z$225,X$2,FALSE)=0,"",VLOOKUP($A224,'Pre-Assessment Estimator'!$A$10:$Z$225,X$2,FALSE))</f>
        <v/>
      </c>
      <c r="Y224" s="577" t="str">
        <f>IF(VLOOKUP($A224,'Pre-Assessment Estimator'!$A$10:$Z$225,Y$2,FALSE)=0,"",VLOOKUP($A224,'Pre-Assessment Estimator'!$A$10:$Z$225,Y$2,FALSE))</f>
        <v/>
      </c>
      <c r="Z224" s="370" t="str">
        <f>IF(VLOOKUP($A224,'Pre-Assessment Estimator'!$A$10:$Z$225,Z$2,FALSE)=0,"",VLOOKUP($A224,'Pre-Assessment Estimator'!$A$10:$Z$225,Z$2,FALSE))</f>
        <v/>
      </c>
      <c r="AA224" s="696">
        <v>214</v>
      </c>
    </row>
    <row r="225" spans="1:44" ht="30.75" thickBot="1" x14ac:dyDescent="0.3">
      <c r="A225" s="823">
        <v>216</v>
      </c>
      <c r="B225" s="1236" t="s">
        <v>218</v>
      </c>
      <c r="C225" s="1237"/>
      <c r="D225" s="1261"/>
      <c r="E225" s="1261" t="str">
        <f>VLOOKUP($A225,'Pre-Assessment Estimator'!$A$10:$Z$225,E$2,FALSE)</f>
        <v>Total indicative environmental section performance</v>
      </c>
      <c r="F225" s="582">
        <f>VLOOKUP($A225,'Pre-Assessment Estimator'!$A$10:$Z$225,F$2,FALSE)</f>
        <v>10</v>
      </c>
      <c r="G225" s="584" t="str">
        <f>IF(VLOOKUP($A225,'Pre-Assessment Estimator'!$A$10:$Z$225,G$2,FALSE)=0,"",VLOOKUP($A225,'Pre-Assessment Estimator'!$A$10:$Z$225,G$2,FALSE))</f>
        <v/>
      </c>
      <c r="H225" s="583">
        <f>VLOOKUP($A225,'Pre-Assessment Estimator'!$A$10:$Z$225,H$2,FALSE)</f>
        <v>0</v>
      </c>
      <c r="I225" s="582" t="str">
        <f>VLOOKUP($A225,'Pre-Assessment Estimator'!$A$10:$Z$225,I$2,FALSE)</f>
        <v>Credits achieved: 0</v>
      </c>
      <c r="J225" s="1204" t="str">
        <f>IF(VLOOKUP($A225,'Pre-Assessment Estimator'!$A$10:$Z$225,J$2,FALSE)=0,"",VLOOKUP($A225,'Pre-Assessment Estimator'!$A$10:$Z$225,J$2,FALSE))</f>
        <v/>
      </c>
      <c r="K225" s="1204" t="str">
        <f>IF(VLOOKUP($A225,'Pre-Assessment Estimator'!$A$10:$Z$225,K$2,FALSE)=0,"",VLOOKUP($A225,'Pre-Assessment Estimator'!$A$10:$Z$225,K$2,FALSE))</f>
        <v/>
      </c>
      <c r="L225" s="1223" t="str">
        <f>IF(VLOOKUP($A225,'Pre-Assessment Estimator'!$A$10:$Z$225,L$2,FALSE)=0,"",VLOOKUP($A225,'Pre-Assessment Estimator'!$A$10:$Z$225,L$2,FALSE))</f>
        <v/>
      </c>
      <c r="M225" s="1224"/>
      <c r="N225" s="584" t="str">
        <f>IF(VLOOKUP($A225,'Pre-Assessment Estimator'!$A$10:$Z$225,N$2,FALSE)=0,"",VLOOKUP($A225,'Pre-Assessment Estimator'!$A$10:$Z$225,N$2,FALSE))</f>
        <v/>
      </c>
      <c r="O225" s="583">
        <f>VLOOKUP($A225,'Pre-Assessment Estimator'!$A$10:$Z$225,O$2,FALSE)</f>
        <v>0</v>
      </c>
      <c r="P225" s="582" t="str">
        <f>VLOOKUP($A225,'Pre-Assessment Estimator'!$A$10:$Z$225,P$2,FALSE)</f>
        <v>Credits achieved: 0</v>
      </c>
      <c r="Q225" s="1204" t="str">
        <f>IF(VLOOKUP($A225,'Pre-Assessment Estimator'!$A$10:$Z$225,Q$2,FALSE)=0,"",VLOOKUP($A225,'Pre-Assessment Estimator'!$A$10:$Z$225,Q$2,FALSE))</f>
        <v/>
      </c>
      <c r="R225" s="1204" t="str">
        <f>IF(VLOOKUP($A225,'Pre-Assessment Estimator'!$A$10:$Z$225,R$2,FALSE)=0,"",VLOOKUP($A225,'Pre-Assessment Estimator'!$A$10:$Z$225,R$2,FALSE))</f>
        <v/>
      </c>
      <c r="S225" s="1223" t="str">
        <f>IF(VLOOKUP($A225,'Pre-Assessment Estimator'!$A$10:$Z$225,S$2,FALSE)=0,"",VLOOKUP($A225,'Pre-Assessment Estimator'!$A$10:$Z$225,S$2,FALSE))</f>
        <v/>
      </c>
      <c r="T225" s="1225"/>
      <c r="U225" s="584" t="str">
        <f>IF(VLOOKUP($A225,'Pre-Assessment Estimator'!$A$10:$Z$225,U$2,FALSE)=0,"",VLOOKUP($A225,'Pre-Assessment Estimator'!$A$10:$Z$225,U$2,FALSE))</f>
        <v/>
      </c>
      <c r="V225" s="583">
        <f>VLOOKUP($A225,'Pre-Assessment Estimator'!$A$10:$Z$225,V$2,FALSE)</f>
        <v>0</v>
      </c>
      <c r="W225" s="582" t="str">
        <f>VLOOKUP($A225,'Pre-Assessment Estimator'!$A$10:$Z$225,W$2,FALSE)</f>
        <v>Credits achieved: 0</v>
      </c>
      <c r="X225" s="1204" t="str">
        <f>IF(VLOOKUP($A225,'Pre-Assessment Estimator'!$A$10:$Z$225,X$2,FALSE)=0,"",VLOOKUP($A225,'Pre-Assessment Estimator'!$A$10:$Z$225,X$2,FALSE))</f>
        <v/>
      </c>
      <c r="Y225" s="1204" t="str">
        <f>IF(VLOOKUP($A225,'Pre-Assessment Estimator'!$A$10:$Z$225,Y$2,FALSE)=0,"",VLOOKUP($A225,'Pre-Assessment Estimator'!$A$10:$Z$225,Y$2,FALSE))</f>
        <v/>
      </c>
      <c r="Z225" s="1226" t="str">
        <f>IF(VLOOKUP($A225,'Pre-Assessment Estimator'!$A$10:$Z$225,Z$2,FALSE)=0,"",VLOOKUP($A225,'Pre-Assessment Estimator'!$A$10:$Z$225,Z$2,FALSE))</f>
        <v/>
      </c>
      <c r="AA225" s="696">
        <v>215</v>
      </c>
    </row>
    <row r="226" spans="1:44" x14ac:dyDescent="0.25">
      <c r="A226" s="388"/>
      <c r="B226" s="388"/>
      <c r="C226" s="388"/>
      <c r="D226" s="388"/>
      <c r="E226" s="388"/>
      <c r="F226" s="388"/>
      <c r="G226" s="388"/>
      <c r="H226" s="388"/>
      <c r="I226" s="388"/>
      <c r="J226" s="388"/>
      <c r="K226" s="388"/>
      <c r="L226" s="388"/>
      <c r="M226" s="388"/>
      <c r="N226" s="388"/>
      <c r="O226" s="388"/>
      <c r="P226" s="388"/>
      <c r="Q226" s="388"/>
      <c r="R226" s="388"/>
      <c r="S226" s="388"/>
      <c r="T226" s="388"/>
      <c r="U226" s="388"/>
      <c r="V226" s="388"/>
      <c r="W226" s="388"/>
      <c r="X226" s="388"/>
      <c r="Y226" s="388"/>
      <c r="Z226" s="388"/>
      <c r="AA226" s="388"/>
      <c r="AB226" s="388"/>
      <c r="AC226" s="388"/>
      <c r="AD226" s="388"/>
      <c r="AE226" s="388"/>
      <c r="AF226" s="388"/>
      <c r="AG226" s="388"/>
      <c r="AH226" s="388"/>
      <c r="AI226" s="388"/>
    </row>
    <row r="227" spans="1:44" x14ac:dyDescent="0.25">
      <c r="A227" s="388"/>
      <c r="B227" s="388"/>
      <c r="C227" s="388"/>
      <c r="D227" s="388"/>
      <c r="E227" s="388"/>
      <c r="F227" s="388"/>
      <c r="G227" s="388"/>
      <c r="H227" s="388"/>
      <c r="I227" s="388"/>
      <c r="J227" s="388"/>
      <c r="K227" s="388"/>
      <c r="L227" s="388"/>
      <c r="M227" s="388"/>
      <c r="N227" s="388"/>
      <c r="O227" s="388"/>
      <c r="P227" s="388"/>
      <c r="Q227" s="388"/>
      <c r="R227" s="388"/>
      <c r="S227" s="388"/>
      <c r="T227" s="388"/>
      <c r="U227" s="388"/>
      <c r="V227" s="388"/>
      <c r="W227" s="388"/>
      <c r="X227" s="388"/>
      <c r="Y227" s="388"/>
      <c r="Z227" s="388"/>
      <c r="AA227" s="388"/>
      <c r="AB227" s="388"/>
      <c r="AC227" s="388"/>
      <c r="AD227" s="388"/>
      <c r="AE227" s="388"/>
      <c r="AF227" s="388"/>
      <c r="AG227" s="388"/>
      <c r="AH227" s="388"/>
      <c r="AI227" s="388"/>
    </row>
    <row r="228" spans="1:44" x14ac:dyDescent="0.25">
      <c r="A228" s="388"/>
      <c r="B228" s="388"/>
      <c r="C228" s="388"/>
      <c r="D228" s="388"/>
      <c r="E228" s="388"/>
      <c r="F228" s="388"/>
      <c r="G228" s="388"/>
      <c r="H228" s="388"/>
      <c r="I228" s="388"/>
      <c r="J228" s="388"/>
      <c r="K228" s="388"/>
      <c r="L228" s="388"/>
      <c r="M228" s="388"/>
      <c r="N228" s="388"/>
      <c r="O228" s="388"/>
      <c r="P228" s="388"/>
      <c r="Q228" s="388"/>
      <c r="R228" s="388"/>
      <c r="S228" s="388"/>
      <c r="T228" s="388"/>
      <c r="U228" s="388"/>
      <c r="V228" s="388"/>
      <c r="W228" s="388"/>
      <c r="X228" s="388"/>
      <c r="Y228" s="388"/>
      <c r="Z228" s="388"/>
      <c r="AA228" s="388"/>
      <c r="AB228" s="388"/>
      <c r="AC228" s="388"/>
      <c r="AD228" s="388"/>
      <c r="AE228" s="388"/>
      <c r="AF228" s="388"/>
      <c r="AG228" s="388"/>
      <c r="AH228" s="388"/>
      <c r="AI228" s="388"/>
      <c r="AJ228" s="414"/>
      <c r="AK228" s="414"/>
      <c r="AL228" s="414"/>
      <c r="AM228" s="414"/>
      <c r="AN228" s="414"/>
      <c r="AO228" s="414"/>
      <c r="AP228" s="414"/>
      <c r="AQ228" s="414"/>
      <c r="AR228" s="414"/>
    </row>
    <row r="229" spans="1:44" x14ac:dyDescent="0.25">
      <c r="E229" s="387"/>
      <c r="M229" s="387"/>
      <c r="T229" s="387"/>
      <c r="AB229" s="387"/>
      <c r="AC229" s="387"/>
      <c r="AD229" s="387"/>
      <c r="AE229" s="387"/>
      <c r="AF229" s="387"/>
    </row>
    <row r="230" spans="1:44" x14ac:dyDescent="0.25">
      <c r="E230" s="387"/>
      <c r="M230" s="387"/>
      <c r="T230" s="387"/>
      <c r="AB230" s="387"/>
      <c r="AC230" s="387"/>
      <c r="AD230" s="387"/>
      <c r="AE230" s="387"/>
      <c r="AF230" s="387"/>
    </row>
    <row r="231" spans="1:44" x14ac:dyDescent="0.25">
      <c r="E231" s="387"/>
      <c r="M231" s="387"/>
      <c r="T231" s="387"/>
      <c r="AB231" s="387"/>
      <c r="AC231" s="387"/>
      <c r="AD231" s="387"/>
      <c r="AE231" s="387"/>
      <c r="AF231" s="387"/>
    </row>
    <row r="381" spans="5:27" s="386" customFormat="1" ht="15.75" x14ac:dyDescent="0.25">
      <c r="E381" s="6"/>
      <c r="F381" s="416"/>
      <c r="G381" s="416"/>
      <c r="H381" s="416"/>
      <c r="I381" s="416"/>
      <c r="J381" s="416"/>
      <c r="K381" s="416"/>
      <c r="L381" s="417"/>
      <c r="N381" s="416"/>
      <c r="O381" s="416"/>
      <c r="P381" s="416"/>
      <c r="Q381" s="416"/>
      <c r="R381" s="416"/>
      <c r="S381" s="416"/>
      <c r="U381" s="416"/>
      <c r="V381" s="416"/>
      <c r="W381" s="416"/>
      <c r="X381" s="416"/>
      <c r="Y381" s="416"/>
      <c r="Z381" s="416"/>
      <c r="AA381" s="416"/>
    </row>
  </sheetData>
  <sheetProtection algorithmName="SHA-512" hashValue="jG4yWfYedrPLZ0zWDGnTVKIjqEWLiT9SYdFmbYoztA5jNGPKdE+El+2VqoT1QF/9D3rZ74plhT2vBLl366EzFg==" saltValue="MSiQkAsZ9jRTRARwR7/dbA==" spinCount="100000" sheet="1" formatRows="0" sort="0" autoFilter="0"/>
  <autoFilter ref="A9:AF225" xr:uid="{00000000-0001-0000-0600-000000000000}"/>
  <conditionalFormatting sqref="E102:L102 J10:L10 J37:L37 J65:L65 J94:L94 J103:L103 AB11:AB36 E36:L36 AB95:AB102 E64:L64 AB38:AB39 E93:L93 AB66:AB93 AB104:AB115 AB117:AB144 AB146:AB158 AB160:AB189 AB191:AB206 F11:L35 AB208:AB222 F72:L91 F148:L159 F163:L190 F194:L207 F211:L224 U160:Z162 U191:Z193 U208:Z210 U225:Z225 N10:S39 U10:AA39 AA41:AA225 U41:Z147 N41:S225 AB41:AB64">
    <cfRule type="expression" dxfId="404" priority="1546">
      <formula>$AF10=2</formula>
    </cfRule>
  </conditionalFormatting>
  <conditionalFormatting sqref="N2:S2 U2:AA2">
    <cfRule type="expression" dxfId="403" priority="1512">
      <formula>$AF10=2</formula>
    </cfRule>
  </conditionalFormatting>
  <conditionalFormatting sqref="AB10">
    <cfRule type="expression" dxfId="402" priority="1120">
      <formula>$AF10=2</formula>
    </cfRule>
  </conditionalFormatting>
  <conditionalFormatting sqref="AB37">
    <cfRule type="expression" dxfId="401" priority="1117">
      <formula>$AF37=2</formula>
    </cfRule>
  </conditionalFormatting>
  <conditionalFormatting sqref="AB65">
    <cfRule type="expression" dxfId="400" priority="1114">
      <formula>$AF65=2</formula>
    </cfRule>
  </conditionalFormatting>
  <conditionalFormatting sqref="AB94">
    <cfRule type="expression" dxfId="399" priority="1111">
      <formula>$AF94=2</formula>
    </cfRule>
  </conditionalFormatting>
  <conditionalFormatting sqref="AB103">
    <cfRule type="expression" dxfId="398" priority="1108">
      <formula>$AF103=2</formula>
    </cfRule>
  </conditionalFormatting>
  <conditionalFormatting sqref="AB116">
    <cfRule type="expression" dxfId="397" priority="1105">
      <formula>$AF116=2</formula>
    </cfRule>
  </conditionalFormatting>
  <conditionalFormatting sqref="AB145">
    <cfRule type="expression" dxfId="396" priority="1102">
      <formula>$AF145=2</formula>
    </cfRule>
  </conditionalFormatting>
  <conditionalFormatting sqref="AB159">
    <cfRule type="expression" dxfId="395" priority="1099">
      <formula>$AF159=2</formula>
    </cfRule>
  </conditionalFormatting>
  <conditionalFormatting sqref="AB190">
    <cfRule type="expression" dxfId="394" priority="1096">
      <formula>$AF190=2</formula>
    </cfRule>
  </conditionalFormatting>
  <conditionalFormatting sqref="AB207">
    <cfRule type="expression" dxfId="393" priority="1093">
      <formula>$AF207=2</formula>
    </cfRule>
  </conditionalFormatting>
  <conditionalFormatting sqref="F63:L63">
    <cfRule type="expression" dxfId="392" priority="1049">
      <formula>$AF63=2</formula>
    </cfRule>
  </conditionalFormatting>
  <conditionalFormatting sqref="F92:L92">
    <cfRule type="expression" dxfId="391" priority="1026">
      <formula>$AF92=2</formula>
    </cfRule>
  </conditionalFormatting>
  <conditionalFormatting sqref="F101:L101">
    <cfRule type="expression" dxfId="390" priority="1003">
      <formula>$AF101=2</formula>
    </cfRule>
  </conditionalFormatting>
  <conditionalFormatting sqref="F38:L39 F41:L62">
    <cfRule type="expression" dxfId="389" priority="819">
      <formula>$AF38=2</formula>
    </cfRule>
  </conditionalFormatting>
  <conditionalFormatting sqref="F66:L70">
    <cfRule type="expression" dxfId="388" priority="784">
      <formula>$AF66=2</formula>
    </cfRule>
  </conditionalFormatting>
  <conditionalFormatting sqref="F95:L100">
    <cfRule type="expression" dxfId="387" priority="749">
      <formula>$AF95=2</formula>
    </cfRule>
  </conditionalFormatting>
  <conditionalFormatting sqref="F104:L114">
    <cfRule type="expression" dxfId="386" priority="714">
      <formula>$AF104=2</formula>
    </cfRule>
  </conditionalFormatting>
  <conditionalFormatting sqref="F118:L144">
    <cfRule type="expression" dxfId="385" priority="679">
      <formula>$AF118=2</formula>
    </cfRule>
  </conditionalFormatting>
  <conditionalFormatting sqref="U148:Z159">
    <cfRule type="expression" dxfId="384" priority="644">
      <formula>$AF148=2</formula>
    </cfRule>
  </conditionalFormatting>
  <conditionalFormatting sqref="U163:Z190">
    <cfRule type="expression" dxfId="383" priority="609">
      <formula>$AF163=2</formula>
    </cfRule>
  </conditionalFormatting>
  <conditionalFormatting sqref="U194:Z207">
    <cfRule type="expression" dxfId="382" priority="574">
      <formula>$AF194=2</formula>
    </cfRule>
  </conditionalFormatting>
  <conditionalFormatting sqref="U211:Z224">
    <cfRule type="expression" dxfId="381" priority="539">
      <formula>$AF211=2</formula>
    </cfRule>
  </conditionalFormatting>
  <conditionalFormatting sqref="J117:L117">
    <cfRule type="expression" dxfId="380" priority="516">
      <formula>$AF117=2</formula>
    </cfRule>
  </conditionalFormatting>
  <conditionalFormatting sqref="E116:L116">
    <cfRule type="expression" dxfId="379" priority="487">
      <formula>$AF116=2</formula>
    </cfRule>
  </conditionalFormatting>
  <conditionalFormatting sqref="F115:L115">
    <cfRule type="expression" dxfId="378" priority="470">
      <formula>$AF115=2</formula>
    </cfRule>
  </conditionalFormatting>
  <conditionalFormatting sqref="J147:L147">
    <cfRule type="expression" dxfId="377" priority="459">
      <formula>$AF147=2</formula>
    </cfRule>
  </conditionalFormatting>
  <conditionalFormatting sqref="E146:L146">
    <cfRule type="expression" dxfId="376" priority="413">
      <formula>$AF146=2</formula>
    </cfRule>
  </conditionalFormatting>
  <conditionalFormatting sqref="F145:L145">
    <cfRule type="expression" dxfId="375" priority="396">
      <formula>$AF145=2</formula>
    </cfRule>
  </conditionalFormatting>
  <conditionalFormatting sqref="J162:L162">
    <cfRule type="expression" dxfId="374" priority="385">
      <formula>$AF162=2</formula>
    </cfRule>
  </conditionalFormatting>
  <conditionalFormatting sqref="E161:L161">
    <cfRule type="expression" dxfId="373" priority="322">
      <formula>$AF161=2</formula>
    </cfRule>
  </conditionalFormatting>
  <conditionalFormatting sqref="J193:L193">
    <cfRule type="expression" dxfId="372" priority="317">
      <formula>$AF193=2</formula>
    </cfRule>
  </conditionalFormatting>
  <conditionalFormatting sqref="E192:L192">
    <cfRule type="expression" dxfId="371" priority="254">
      <formula>$AF192=2</formula>
    </cfRule>
  </conditionalFormatting>
  <conditionalFormatting sqref="F160:L160">
    <cfRule type="expression" dxfId="370" priority="237">
      <formula>$AF160=2</formula>
    </cfRule>
  </conditionalFormatting>
  <conditionalFormatting sqref="F191:L191">
    <cfRule type="expression" dxfId="369" priority="214">
      <formula>$AF191=2</formula>
    </cfRule>
  </conditionalFormatting>
  <conditionalFormatting sqref="J210:L210">
    <cfRule type="expression" dxfId="368" priority="203">
      <formula>$AF210=2</formula>
    </cfRule>
  </conditionalFormatting>
  <conditionalFormatting sqref="E209:L209">
    <cfRule type="expression" dxfId="367" priority="140">
      <formula>$AF209=2</formula>
    </cfRule>
  </conditionalFormatting>
  <conditionalFormatting sqref="F208:L208">
    <cfRule type="expression" dxfId="366" priority="123">
      <formula>$AF208=2</formula>
    </cfRule>
  </conditionalFormatting>
  <conditionalFormatting sqref="F225:L225">
    <cfRule type="expression" dxfId="365" priority="100">
      <formula>$AF225=2</formula>
    </cfRule>
  </conditionalFormatting>
  <conditionalFormatting sqref="F71:L71">
    <cfRule type="expression" dxfId="364" priority="77">
      <formula>$AF71=2</formula>
    </cfRule>
  </conditionalFormatting>
  <conditionalFormatting sqref="D102 D36 D64 D93">
    <cfRule type="expression" dxfId="363" priority="56">
      <formula>$AF36=2</formula>
    </cfRule>
  </conditionalFormatting>
  <conditionalFormatting sqref="D116">
    <cfRule type="expression" dxfId="362" priority="55">
      <formula>$AF116=2</formula>
    </cfRule>
  </conditionalFormatting>
  <conditionalFormatting sqref="D146">
    <cfRule type="expression" dxfId="361" priority="54">
      <formula>$AF146=2</formula>
    </cfRule>
  </conditionalFormatting>
  <conditionalFormatting sqref="D161">
    <cfRule type="expression" dxfId="360" priority="53">
      <formula>$AF161=2</formula>
    </cfRule>
  </conditionalFormatting>
  <conditionalFormatting sqref="D192">
    <cfRule type="expression" dxfId="359" priority="52">
      <formula>$AF192=2</formula>
    </cfRule>
  </conditionalFormatting>
  <conditionalFormatting sqref="D209">
    <cfRule type="expression" dxfId="358" priority="51">
      <formula>$AF209=2</formula>
    </cfRule>
  </conditionalFormatting>
  <conditionalFormatting sqref="N40:S40 U40:AB40">
    <cfRule type="expression" dxfId="357" priority="48">
      <formula>$AF40=2</formula>
    </cfRule>
  </conditionalFormatting>
  <conditionalFormatting sqref="F40:L40">
    <cfRule type="expression" dxfId="356" priority="30">
      <formula>$AF40=2</formula>
    </cfRule>
  </conditionalFormatting>
  <conditionalFormatting sqref="Q11:R11 X11:Y11 Q95:R100 X95:Y100 Q104:R114 X104:Y114 Q118:R144 X118:Y144 Q148:R159 X148:Y159 Q163:R190 X163:Y190 Q194:R207 X194:Y207 Q211:R224 X211:Y224 Q66:R91 X66:Y91 J10:K225 Q38:R62 X38:Y62">
    <cfRule type="expression" dxfId="355" priority="6936">
      <formula>#REF!=4</formula>
    </cfRule>
    <cfRule type="expression" dxfId="354" priority="6937">
      <formula>#REF!=3</formula>
    </cfRule>
    <cfRule type="expression" dxfId="353" priority="6938">
      <formula>#REF!=2</formula>
    </cfRule>
    <cfRule type="expression" dxfId="352" priority="6939">
      <formula>#REF!=1</formula>
    </cfRule>
  </conditionalFormatting>
  <conditionalFormatting sqref="Q10:R225">
    <cfRule type="expression" dxfId="351" priority="6952">
      <formula>#REF!=4</formula>
    </cfRule>
    <cfRule type="expression" dxfId="350" priority="6953">
      <formula>#REF!=3</formula>
    </cfRule>
    <cfRule type="expression" dxfId="349" priority="6954">
      <formula>#REF!=2</formula>
    </cfRule>
    <cfRule type="expression" dxfId="348" priority="6955">
      <formula>#REF!=1</formula>
    </cfRule>
  </conditionalFormatting>
  <conditionalFormatting sqref="X10:Y225">
    <cfRule type="expression" dxfId="347" priority="6960">
      <formula>#REF!=4</formula>
    </cfRule>
    <cfRule type="expression" dxfId="346" priority="6961">
      <formula>#REF!=3</formula>
    </cfRule>
    <cfRule type="expression" dxfId="345" priority="6962">
      <formula>#REF!=2</formula>
    </cfRule>
    <cfRule type="expression" dxfId="344" priority="6963">
      <formula>#REF!=1</formula>
    </cfRule>
  </conditionalFormatting>
  <conditionalFormatting sqref="Q2:R2">
    <cfRule type="expression" dxfId="343" priority="7004">
      <formula>#REF!=4</formula>
    </cfRule>
    <cfRule type="expression" dxfId="342" priority="7005">
      <formula>#REF!=3</formula>
    </cfRule>
    <cfRule type="expression" dxfId="341" priority="7006">
      <formula>#REF!=2</formula>
    </cfRule>
    <cfRule type="expression" dxfId="340" priority="7007">
      <formula>#REF!=1</formula>
    </cfRule>
  </conditionalFormatting>
  <conditionalFormatting sqref="X2:Y2">
    <cfRule type="expression" dxfId="339" priority="7008">
      <formula>#REF!=4</formula>
    </cfRule>
    <cfRule type="expression" dxfId="338" priority="7009">
      <formula>#REF!=3</formula>
    </cfRule>
    <cfRule type="expression" dxfId="337" priority="7010">
      <formula>#REF!=2</formula>
    </cfRule>
    <cfRule type="expression" dxfId="336" priority="7011">
      <formula>#REF!=1</formula>
    </cfRule>
  </conditionalFormatting>
  <conditionalFormatting sqref="K11:K225">
    <cfRule type="expression" dxfId="335" priority="9">
      <formula>K11=$AH$10</formula>
    </cfRule>
    <cfRule type="expression" dxfId="334" priority="2">
      <formula>K11=$AH$11</formula>
    </cfRule>
    <cfRule type="expression" dxfId="333" priority="1">
      <formula>K11=$AH$12</formula>
    </cfRule>
  </conditionalFormatting>
  <conditionalFormatting sqref="R11:R225">
    <cfRule type="expression" dxfId="332" priority="8">
      <formula>R11=$AH$10</formula>
    </cfRule>
    <cfRule type="expression" dxfId="331" priority="7">
      <formula>R11=$AH$11</formula>
    </cfRule>
    <cfRule type="expression" dxfId="330" priority="6">
      <formula>R11=$AH$12</formula>
    </cfRule>
  </conditionalFormatting>
  <conditionalFormatting sqref="Y11:Y225">
    <cfRule type="expression" dxfId="329" priority="5">
      <formula>Y1048373=$AH$10</formula>
    </cfRule>
    <cfRule type="expression" dxfId="328" priority="4">
      <formula>Y1048373=$AH$11</formula>
    </cfRule>
    <cfRule type="expression" dxfId="327" priority="3">
      <formula>Y1048373=$AH$12</formula>
    </cfRule>
  </conditionalFormatting>
  <dataValidations count="2">
    <dataValidation allowBlank="1" showInputMessage="1" showErrorMessage="1" promptTitle="Sorting" prompt="Sort from smallest to largest to get original sorting" sqref="A9" xr:uid="{00000000-0002-0000-0600-000001000000}"/>
    <dataValidation type="decimal" operator="lessThanOrEqual" allowBlank="1" errorTitle="Invalid entry" error="Cannot award more credits than available" sqref="E11:Z225" xr:uid="{00000000-0002-0000-0600-000000000000}">
      <formula1>$F11</formula1>
    </dataValidation>
  </dataValidations>
  <pageMargins left="0.43307086614173229" right="0.19685039370078741" top="0.6692913385826772" bottom="0.59055118110236227" header="0.31496062992125984" footer="0.31496062992125984"/>
  <pageSetup paperSize="9" scale="39" fitToHeight="0" orientation="landscape" r:id="rId1"/>
  <headerFooter>
    <oddFooter xml:space="preserve">&amp;L&amp;F&amp;C&amp;D&amp;RPage &amp;P of &amp;N  </oddFooter>
  </headerFooter>
  <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1543" id="{B963291B-988D-4012-8C32-6BE515380621}">
            <xm:f>$S$8='Assessment Details'!$Q$23</xm:f>
            <x14:dxf>
              <font>
                <color theme="0"/>
              </font>
              <fill>
                <patternFill>
                  <bgColor theme="0"/>
                </patternFill>
              </fill>
              <border>
                <vertical/>
                <horizontal/>
              </border>
            </x14:dxf>
          </x14:cfRule>
          <xm:sqref>AB100:AB102 AB95:AB98 AB208:AB222 AB11:AB36 N2:S2 AB38:AB39 AB66:AB93 AB104:AB115 AB117:AB144 AB146:AB158 AB160:AB189 AB191:AB206 N10:S37 N64:S65 N93:S94 N102:S103 G72:G91 N72:S91 U72:U91 W72:W91 AB41:AB64</xm:sqref>
        </x14:conditionalFormatting>
        <x14:conditionalFormatting xmlns:xm="http://schemas.microsoft.com/office/excel/2006/main">
          <x14:cfRule type="expression" priority="1542" id="{D6CE8378-0295-43A4-B4D2-FF97977D5B54}">
            <xm:f>$S$8='Assessment Details'!$Q$23</xm:f>
            <x14:dxf>
              <border>
                <left style="thin">
                  <color theme="0"/>
                </left>
                <right style="thin">
                  <color theme="0"/>
                </right>
                <top style="thin">
                  <color theme="0"/>
                </top>
                <bottom style="thin">
                  <color theme="0"/>
                </bottom>
                <vertical/>
                <horizontal/>
              </border>
            </x14:dxf>
          </x14:cfRule>
          <xm:sqref>AB100:AB102 AB95:AB98 AB208:AB222 AB11:AB36 N2:S2 AB38:AB39 AB66:AB93 AB104:AB115 AB117:AB144 AB146:AB158 AB160:AB189 AB191:AB206 N10:S37 N64:S65 N93:S94 N102:S103 G72:G91 N72:S91 U72:U91 W72:W91 AB41:AB64</xm:sqref>
        </x14:conditionalFormatting>
        <x14:conditionalFormatting xmlns:xm="http://schemas.microsoft.com/office/excel/2006/main">
          <x14:cfRule type="expression" priority="1122" id="{D4A1FB8B-9A6F-4D5A-87DE-8437C2FEA5F4}">
            <xm:f>$S$8='Assessment Details'!$Q$23</xm:f>
            <x14:dxf>
              <font>
                <color theme="0"/>
              </font>
              <fill>
                <patternFill>
                  <bgColor theme="0"/>
                </patternFill>
              </fill>
              <border>
                <vertical/>
                <horizontal/>
              </border>
            </x14:dxf>
          </x14:cfRule>
          <xm:sqref>AB99</xm:sqref>
        </x14:conditionalFormatting>
        <x14:conditionalFormatting xmlns:xm="http://schemas.microsoft.com/office/excel/2006/main">
          <x14:cfRule type="expression" priority="1121" id="{702E3ADF-3980-4B25-89A5-EF096DCCD8F6}">
            <xm:f>$S$8='Assessment Details'!$Q$23</xm:f>
            <x14:dxf>
              <border>
                <left style="thin">
                  <color theme="0"/>
                </left>
                <right style="thin">
                  <color theme="0"/>
                </right>
                <top style="thin">
                  <color theme="0"/>
                </top>
                <bottom style="thin">
                  <color theme="0"/>
                </bottom>
                <vertical/>
                <horizontal/>
              </border>
            </x14:dxf>
          </x14:cfRule>
          <xm:sqref>AB99</xm:sqref>
        </x14:conditionalFormatting>
        <x14:conditionalFormatting xmlns:xm="http://schemas.microsoft.com/office/excel/2006/main">
          <x14:cfRule type="expression" priority="1119" id="{258B7964-1DDD-42CC-8176-865BF7F43F24}">
            <xm:f>$S$8='Assessment Details'!$Q$23</xm:f>
            <x14:dxf>
              <font>
                <color theme="0"/>
              </font>
              <fill>
                <patternFill>
                  <bgColor theme="0"/>
                </patternFill>
              </fill>
              <border>
                <vertical/>
                <horizontal/>
              </border>
            </x14:dxf>
          </x14:cfRule>
          <xm:sqref>AB10</xm:sqref>
        </x14:conditionalFormatting>
        <x14:conditionalFormatting xmlns:xm="http://schemas.microsoft.com/office/excel/2006/main">
          <x14:cfRule type="expression" priority="1118" id="{7BB3A65E-2FFF-4780-BA07-E396F8C92B2F}">
            <xm:f>$S$8='Assessment Details'!$Q$23</xm:f>
            <x14:dxf>
              <border>
                <left style="thin">
                  <color theme="0"/>
                </left>
                <right style="thin">
                  <color theme="0"/>
                </right>
                <top style="thin">
                  <color theme="0"/>
                </top>
                <bottom style="thin">
                  <color theme="0"/>
                </bottom>
                <vertical/>
                <horizontal/>
              </border>
            </x14:dxf>
          </x14:cfRule>
          <xm:sqref>AB10</xm:sqref>
        </x14:conditionalFormatting>
        <x14:conditionalFormatting xmlns:xm="http://schemas.microsoft.com/office/excel/2006/main">
          <x14:cfRule type="expression" priority="1116" id="{779EE763-74DF-4BD9-9F1F-3F97AD73E70F}">
            <xm:f>$S$8='Assessment Details'!$Q$23</xm:f>
            <x14:dxf>
              <font>
                <color theme="0"/>
              </font>
              <fill>
                <patternFill>
                  <bgColor theme="0"/>
                </patternFill>
              </fill>
              <border>
                <vertical/>
                <horizontal/>
              </border>
            </x14:dxf>
          </x14:cfRule>
          <xm:sqref>AB37</xm:sqref>
        </x14:conditionalFormatting>
        <x14:conditionalFormatting xmlns:xm="http://schemas.microsoft.com/office/excel/2006/main">
          <x14:cfRule type="expression" priority="1115" id="{F92D0C3A-CBEC-4FCE-86A8-17D840D00825}">
            <xm:f>$S$8='Assessment Details'!$Q$23</xm:f>
            <x14:dxf>
              <border>
                <left style="thin">
                  <color theme="0"/>
                </left>
                <right style="thin">
                  <color theme="0"/>
                </right>
                <top style="thin">
                  <color theme="0"/>
                </top>
                <bottom style="thin">
                  <color theme="0"/>
                </bottom>
                <vertical/>
                <horizontal/>
              </border>
            </x14:dxf>
          </x14:cfRule>
          <xm:sqref>AB37</xm:sqref>
        </x14:conditionalFormatting>
        <x14:conditionalFormatting xmlns:xm="http://schemas.microsoft.com/office/excel/2006/main">
          <x14:cfRule type="expression" priority="1113" id="{027B81C1-6272-451D-B4B8-47058050C058}">
            <xm:f>$S$8='Assessment Details'!$Q$23</xm:f>
            <x14:dxf>
              <font>
                <color theme="0"/>
              </font>
              <fill>
                <patternFill>
                  <bgColor theme="0"/>
                </patternFill>
              </fill>
              <border>
                <vertical/>
                <horizontal/>
              </border>
            </x14:dxf>
          </x14:cfRule>
          <xm:sqref>AB65</xm:sqref>
        </x14:conditionalFormatting>
        <x14:conditionalFormatting xmlns:xm="http://schemas.microsoft.com/office/excel/2006/main">
          <x14:cfRule type="expression" priority="1112" id="{4D3B5EA4-9B11-4F47-A1E2-053463420900}">
            <xm:f>$S$8='Assessment Details'!$Q$23</xm:f>
            <x14:dxf>
              <border>
                <left style="thin">
                  <color theme="0"/>
                </left>
                <right style="thin">
                  <color theme="0"/>
                </right>
                <top style="thin">
                  <color theme="0"/>
                </top>
                <bottom style="thin">
                  <color theme="0"/>
                </bottom>
                <vertical/>
                <horizontal/>
              </border>
            </x14:dxf>
          </x14:cfRule>
          <xm:sqref>AB65</xm:sqref>
        </x14:conditionalFormatting>
        <x14:conditionalFormatting xmlns:xm="http://schemas.microsoft.com/office/excel/2006/main">
          <x14:cfRule type="expression" priority="1110" id="{D1977690-7C99-4F9A-A385-8225523AE7C5}">
            <xm:f>$S$8='Assessment Details'!$Q$23</xm:f>
            <x14:dxf>
              <font>
                <color theme="0"/>
              </font>
              <fill>
                <patternFill>
                  <bgColor theme="0"/>
                </patternFill>
              </fill>
              <border>
                <vertical/>
                <horizontal/>
              </border>
            </x14:dxf>
          </x14:cfRule>
          <xm:sqref>AB94</xm:sqref>
        </x14:conditionalFormatting>
        <x14:conditionalFormatting xmlns:xm="http://schemas.microsoft.com/office/excel/2006/main">
          <x14:cfRule type="expression" priority="1109" id="{02B16B7F-9900-4D08-AD13-3051DACA57E6}">
            <xm:f>$S$8='Assessment Details'!$Q$23</xm:f>
            <x14:dxf>
              <border>
                <left style="thin">
                  <color theme="0"/>
                </left>
                <right style="thin">
                  <color theme="0"/>
                </right>
                <top style="thin">
                  <color theme="0"/>
                </top>
                <bottom style="thin">
                  <color theme="0"/>
                </bottom>
                <vertical/>
                <horizontal/>
              </border>
            </x14:dxf>
          </x14:cfRule>
          <xm:sqref>AB94</xm:sqref>
        </x14:conditionalFormatting>
        <x14:conditionalFormatting xmlns:xm="http://schemas.microsoft.com/office/excel/2006/main">
          <x14:cfRule type="expression" priority="1107" id="{851B2D0E-EE59-432B-86AE-4FC98C58D018}">
            <xm:f>$S$8='Assessment Details'!$Q$23</xm:f>
            <x14:dxf>
              <font>
                <color theme="0"/>
              </font>
              <fill>
                <patternFill>
                  <bgColor theme="0"/>
                </patternFill>
              </fill>
              <border>
                <vertical/>
                <horizontal/>
              </border>
            </x14:dxf>
          </x14:cfRule>
          <xm:sqref>AB103</xm:sqref>
        </x14:conditionalFormatting>
        <x14:conditionalFormatting xmlns:xm="http://schemas.microsoft.com/office/excel/2006/main">
          <x14:cfRule type="expression" priority="1106" id="{AF11453C-7B9A-47F5-A23D-103B7E6120F5}">
            <xm:f>$S$8='Assessment Details'!$Q$23</xm:f>
            <x14:dxf>
              <border>
                <left style="thin">
                  <color theme="0"/>
                </left>
                <right style="thin">
                  <color theme="0"/>
                </right>
                <top style="thin">
                  <color theme="0"/>
                </top>
                <bottom style="thin">
                  <color theme="0"/>
                </bottom>
                <vertical/>
                <horizontal/>
              </border>
            </x14:dxf>
          </x14:cfRule>
          <xm:sqref>AB103</xm:sqref>
        </x14:conditionalFormatting>
        <x14:conditionalFormatting xmlns:xm="http://schemas.microsoft.com/office/excel/2006/main">
          <x14:cfRule type="expression" priority="1104" id="{BDA04989-118F-431C-9128-402229EDB742}">
            <xm:f>$S$8='Assessment Details'!$Q$23</xm:f>
            <x14:dxf>
              <font>
                <color theme="0"/>
              </font>
              <fill>
                <patternFill>
                  <bgColor theme="0"/>
                </patternFill>
              </fill>
              <border>
                <vertical/>
                <horizontal/>
              </border>
            </x14:dxf>
          </x14:cfRule>
          <xm:sqref>AB116</xm:sqref>
        </x14:conditionalFormatting>
        <x14:conditionalFormatting xmlns:xm="http://schemas.microsoft.com/office/excel/2006/main">
          <x14:cfRule type="expression" priority="1103" id="{DD27F743-136F-4F86-96CC-24A0C7078F4D}">
            <xm:f>$S$8='Assessment Details'!$Q$23</xm:f>
            <x14:dxf>
              <border>
                <left style="thin">
                  <color theme="0"/>
                </left>
                <right style="thin">
                  <color theme="0"/>
                </right>
                <top style="thin">
                  <color theme="0"/>
                </top>
                <bottom style="thin">
                  <color theme="0"/>
                </bottom>
                <vertical/>
                <horizontal/>
              </border>
            </x14:dxf>
          </x14:cfRule>
          <xm:sqref>AB116</xm:sqref>
        </x14:conditionalFormatting>
        <x14:conditionalFormatting xmlns:xm="http://schemas.microsoft.com/office/excel/2006/main">
          <x14:cfRule type="expression" priority="1101" id="{FF303370-E145-4234-90FB-DE980C45532D}">
            <xm:f>$S$8='Assessment Details'!$Q$23</xm:f>
            <x14:dxf>
              <font>
                <color theme="0"/>
              </font>
              <fill>
                <patternFill>
                  <bgColor theme="0"/>
                </patternFill>
              </fill>
              <border>
                <vertical/>
                <horizontal/>
              </border>
            </x14:dxf>
          </x14:cfRule>
          <xm:sqref>AB145</xm:sqref>
        </x14:conditionalFormatting>
        <x14:conditionalFormatting xmlns:xm="http://schemas.microsoft.com/office/excel/2006/main">
          <x14:cfRule type="expression" priority="1100" id="{2632A259-519C-48E3-8FBB-B6242A1337A6}">
            <xm:f>$S$8='Assessment Details'!$Q$23</xm:f>
            <x14:dxf>
              <border>
                <left style="thin">
                  <color theme="0"/>
                </left>
                <right style="thin">
                  <color theme="0"/>
                </right>
                <top style="thin">
                  <color theme="0"/>
                </top>
                <bottom style="thin">
                  <color theme="0"/>
                </bottom>
                <vertical/>
                <horizontal/>
              </border>
            </x14:dxf>
          </x14:cfRule>
          <xm:sqref>AB145</xm:sqref>
        </x14:conditionalFormatting>
        <x14:conditionalFormatting xmlns:xm="http://schemas.microsoft.com/office/excel/2006/main">
          <x14:cfRule type="expression" priority="1098" id="{187E2EFC-BF3D-45C7-925F-2464160CBCBF}">
            <xm:f>$S$8='Assessment Details'!$Q$23</xm:f>
            <x14:dxf>
              <font>
                <color theme="0"/>
              </font>
              <fill>
                <patternFill>
                  <bgColor theme="0"/>
                </patternFill>
              </fill>
              <border>
                <vertical/>
                <horizontal/>
              </border>
            </x14:dxf>
          </x14:cfRule>
          <xm:sqref>AB159</xm:sqref>
        </x14:conditionalFormatting>
        <x14:conditionalFormatting xmlns:xm="http://schemas.microsoft.com/office/excel/2006/main">
          <x14:cfRule type="expression" priority="1097" id="{3C5F7B95-E605-4AD1-9B8A-92CCF8687D8A}">
            <xm:f>$S$8='Assessment Details'!$Q$23</xm:f>
            <x14:dxf>
              <border>
                <left style="thin">
                  <color theme="0"/>
                </left>
                <right style="thin">
                  <color theme="0"/>
                </right>
                <top style="thin">
                  <color theme="0"/>
                </top>
                <bottom style="thin">
                  <color theme="0"/>
                </bottom>
                <vertical/>
                <horizontal/>
              </border>
            </x14:dxf>
          </x14:cfRule>
          <xm:sqref>AB159</xm:sqref>
        </x14:conditionalFormatting>
        <x14:conditionalFormatting xmlns:xm="http://schemas.microsoft.com/office/excel/2006/main">
          <x14:cfRule type="expression" priority="1095" id="{8312C7E2-5FCA-405D-A25A-378E6A65001A}">
            <xm:f>$S$8='Assessment Details'!$Q$23</xm:f>
            <x14:dxf>
              <font>
                <color theme="0"/>
              </font>
              <fill>
                <patternFill>
                  <bgColor theme="0"/>
                </patternFill>
              </fill>
              <border>
                <vertical/>
                <horizontal/>
              </border>
            </x14:dxf>
          </x14:cfRule>
          <xm:sqref>AB190</xm:sqref>
        </x14:conditionalFormatting>
        <x14:conditionalFormatting xmlns:xm="http://schemas.microsoft.com/office/excel/2006/main">
          <x14:cfRule type="expression" priority="1094" id="{2ABA13B5-80B7-40DC-BBE5-C00321C31963}">
            <xm:f>$S$8='Assessment Details'!$Q$23</xm:f>
            <x14:dxf>
              <border>
                <left style="thin">
                  <color theme="0"/>
                </left>
                <right style="thin">
                  <color theme="0"/>
                </right>
                <top style="thin">
                  <color theme="0"/>
                </top>
                <bottom style="thin">
                  <color theme="0"/>
                </bottom>
                <vertical/>
                <horizontal/>
              </border>
            </x14:dxf>
          </x14:cfRule>
          <xm:sqref>AB190</xm:sqref>
        </x14:conditionalFormatting>
        <x14:conditionalFormatting xmlns:xm="http://schemas.microsoft.com/office/excel/2006/main">
          <x14:cfRule type="expression" priority="1092" id="{A6D317C5-B5ED-435A-990C-B88E15394D9C}">
            <xm:f>$S$8='Assessment Details'!$Q$23</xm:f>
            <x14:dxf>
              <font>
                <color theme="0"/>
              </font>
              <fill>
                <patternFill>
                  <bgColor theme="0"/>
                </patternFill>
              </fill>
              <border>
                <vertical/>
                <horizontal/>
              </border>
            </x14:dxf>
          </x14:cfRule>
          <xm:sqref>AB207</xm:sqref>
        </x14:conditionalFormatting>
        <x14:conditionalFormatting xmlns:xm="http://schemas.microsoft.com/office/excel/2006/main">
          <x14:cfRule type="expression" priority="1091" id="{94E5855F-7FDC-4C62-97F8-C2DC96E16261}">
            <xm:f>$S$8='Assessment Details'!$Q$23</xm:f>
            <x14:dxf>
              <border>
                <left style="thin">
                  <color theme="0"/>
                </left>
                <right style="thin">
                  <color theme="0"/>
                </right>
                <top style="thin">
                  <color theme="0"/>
                </top>
                <bottom style="thin">
                  <color theme="0"/>
                </bottom>
                <vertical/>
                <horizontal/>
              </border>
            </x14:dxf>
          </x14:cfRule>
          <xm:sqref>AB207</xm:sqref>
        </x14:conditionalFormatting>
        <x14:conditionalFormatting xmlns:xm="http://schemas.microsoft.com/office/excel/2006/main">
          <x14:cfRule type="expression" priority="1090" id="{CA85C2F4-B3B6-4EDC-AAA8-13898B5EA085}">
            <xm:f>'Pre-Assessment Estimator'!$AJ$4=ais_nei</xm:f>
            <x14:dxf>
              <font>
                <color theme="0"/>
              </font>
              <fill>
                <patternFill>
                  <bgColor theme="0"/>
                </patternFill>
              </fill>
              <border>
                <left/>
                <right/>
                <top/>
                <bottom/>
                <vertical/>
                <horizontal/>
              </border>
            </x14:dxf>
          </x14:cfRule>
          <xm:sqref>AB10:AB39 AB41:AB222</xm:sqref>
        </x14:conditionalFormatting>
        <x14:conditionalFormatting xmlns:xm="http://schemas.microsoft.com/office/excel/2006/main">
          <x14:cfRule type="expression" priority="1081" id="{91A40F5D-EE13-49A1-A431-4C7B3D2E9120}">
            <xm:f>$S$8='Assessment Details'!$Q$23</xm:f>
            <x14:dxf>
              <font>
                <color theme="0"/>
              </font>
              <fill>
                <patternFill>
                  <bgColor theme="0"/>
                </patternFill>
              </fill>
              <border>
                <vertical/>
                <horizontal/>
              </border>
            </x14:dxf>
          </x14:cfRule>
          <xm:sqref>G11:G35</xm:sqref>
        </x14:conditionalFormatting>
        <x14:conditionalFormatting xmlns:xm="http://schemas.microsoft.com/office/excel/2006/main">
          <x14:cfRule type="expression" priority="1080" id="{25BB7F43-1C6E-4013-94FE-A8FA867514C0}">
            <xm:f>$S$8='Assessment Details'!$Q$23</xm:f>
            <x14:dxf>
              <border>
                <left style="thin">
                  <color theme="0"/>
                </left>
                <right style="thin">
                  <color theme="0"/>
                </right>
                <top style="thin">
                  <color theme="0"/>
                </top>
                <bottom style="thin">
                  <color theme="0"/>
                </bottom>
                <vertical/>
                <horizontal/>
              </border>
            </x14:dxf>
          </x14:cfRule>
          <xm:sqref>G11:G35</xm:sqref>
        </x14:conditionalFormatting>
        <x14:conditionalFormatting xmlns:xm="http://schemas.microsoft.com/office/excel/2006/main">
          <x14:cfRule type="expression" priority="1079" id="{8CAF9B23-775E-4F2C-B1CB-447B2061AE74}">
            <xm:f>$S$8='Assessment Details'!$Q$23</xm:f>
            <x14:dxf>
              <font>
                <color theme="0"/>
              </font>
              <fill>
                <patternFill>
                  <bgColor theme="0"/>
                </patternFill>
              </fill>
              <border>
                <vertical/>
                <horizontal/>
              </border>
            </x14:dxf>
          </x14:cfRule>
          <xm:sqref>U11:U35</xm:sqref>
        </x14:conditionalFormatting>
        <x14:conditionalFormatting xmlns:xm="http://schemas.microsoft.com/office/excel/2006/main">
          <x14:cfRule type="expression" priority="1078" id="{3DF2DC78-BBCF-4376-A8AD-D065CD3831D1}">
            <xm:f>$S$8='Assessment Details'!$Q$23</xm:f>
            <x14:dxf>
              <border>
                <left style="thin">
                  <color theme="0"/>
                </left>
                <right style="thin">
                  <color theme="0"/>
                </right>
                <top style="thin">
                  <color theme="0"/>
                </top>
                <bottom style="thin">
                  <color theme="0"/>
                </bottom>
                <vertical/>
                <horizontal/>
              </border>
            </x14:dxf>
          </x14:cfRule>
          <xm:sqref>U11:U35</xm:sqref>
        </x14:conditionalFormatting>
        <x14:conditionalFormatting xmlns:xm="http://schemas.microsoft.com/office/excel/2006/main">
          <x14:cfRule type="expression" priority="1073" id="{1BC73C47-1758-4EB7-86BE-2E2AD60FD100}">
            <xm:f>$S$8='Assessment Details'!$Q$23</xm:f>
            <x14:dxf>
              <font>
                <color theme="0"/>
              </font>
              <fill>
                <patternFill>
                  <bgColor theme="0"/>
                </patternFill>
              </fill>
              <border>
                <vertical/>
                <horizontal/>
              </border>
            </x14:dxf>
          </x14:cfRule>
          <xm:sqref>N11</xm:sqref>
        </x14:conditionalFormatting>
        <x14:conditionalFormatting xmlns:xm="http://schemas.microsoft.com/office/excel/2006/main">
          <x14:cfRule type="expression" priority="1072" id="{D2619090-6BDB-4792-A8E2-73C3E3F709E0}">
            <xm:f>$S$8='Assessment Details'!$Q$23</xm:f>
            <x14:dxf>
              <border>
                <left style="thin">
                  <color theme="0"/>
                </left>
                <right style="thin">
                  <color theme="0"/>
                </right>
                <top style="thin">
                  <color theme="0"/>
                </top>
                <bottom style="thin">
                  <color theme="0"/>
                </bottom>
                <vertical/>
                <horizontal/>
              </border>
            </x14:dxf>
          </x14:cfRule>
          <xm:sqref>N11</xm:sqref>
        </x14:conditionalFormatting>
        <x14:conditionalFormatting xmlns:xm="http://schemas.microsoft.com/office/excel/2006/main">
          <x14:cfRule type="expression" priority="1067" id="{66255529-4F29-43F6-BFD1-3ADCBB7A00F0}">
            <xm:f>$S$8='Assessment Details'!$Q$23</xm:f>
            <x14:dxf>
              <font>
                <color theme="0"/>
              </font>
              <fill>
                <patternFill>
                  <bgColor theme="0"/>
                </patternFill>
              </fill>
              <border>
                <vertical/>
                <horizontal/>
              </border>
            </x14:dxf>
          </x14:cfRule>
          <xm:sqref>U11</xm:sqref>
        </x14:conditionalFormatting>
        <x14:conditionalFormatting xmlns:xm="http://schemas.microsoft.com/office/excel/2006/main">
          <x14:cfRule type="expression" priority="1066" id="{786DA6F1-B0B2-44B0-ABD6-7C02B98EB7B2}">
            <xm:f>$S$8='Assessment Details'!$Q$23</xm:f>
            <x14:dxf>
              <border>
                <left style="thin">
                  <color theme="0"/>
                </left>
                <right style="thin">
                  <color theme="0"/>
                </right>
                <top style="thin">
                  <color theme="0"/>
                </top>
                <bottom style="thin">
                  <color theme="0"/>
                </bottom>
                <vertical/>
                <horizontal/>
              </border>
            </x14:dxf>
          </x14:cfRule>
          <xm:sqref>U11</xm:sqref>
        </x14:conditionalFormatting>
        <x14:conditionalFormatting xmlns:xm="http://schemas.microsoft.com/office/excel/2006/main">
          <x14:cfRule type="expression" priority="1065" id="{E8E0CC8E-C1ED-4FB6-B617-50244357E13B}">
            <xm:f>$S$8='Assessment Details'!$Q$23</xm:f>
            <x14:dxf>
              <font>
                <color theme="0"/>
              </font>
              <fill>
                <patternFill>
                  <bgColor theme="0"/>
                </patternFill>
              </fill>
              <border>
                <vertical/>
                <horizontal/>
              </border>
            </x14:dxf>
          </x14:cfRule>
          <xm:sqref>W11:W35</xm:sqref>
        </x14:conditionalFormatting>
        <x14:conditionalFormatting xmlns:xm="http://schemas.microsoft.com/office/excel/2006/main">
          <x14:cfRule type="expression" priority="1064" id="{8FA22E55-62A0-4B65-BF55-2B7B3F01900D}">
            <xm:f>$S$8='Assessment Details'!$Q$23</xm:f>
            <x14:dxf>
              <border>
                <left style="thin">
                  <color theme="0"/>
                </left>
                <right style="thin">
                  <color theme="0"/>
                </right>
                <top style="thin">
                  <color theme="0"/>
                </top>
                <bottom style="thin">
                  <color theme="0"/>
                </bottom>
                <vertical/>
                <horizontal/>
              </border>
            </x14:dxf>
          </x14:cfRule>
          <xm:sqref>W11:W35</xm:sqref>
        </x14:conditionalFormatting>
        <x14:conditionalFormatting xmlns:xm="http://schemas.microsoft.com/office/excel/2006/main">
          <x14:cfRule type="expression" priority="6931" id="{DB805B39-675F-4529-AAA9-84C1652FC9E0}">
            <xm:f>$Z$8='Assessment Details'!$Q$23</xm:f>
            <x14:dxf>
              <font>
                <color theme="0"/>
              </font>
              <fill>
                <patternFill>
                  <bgColor theme="0"/>
                </patternFill>
              </fill>
            </x14:dxf>
          </x14:cfRule>
          <xm:sqref>U2:AA2 U10:AA10 U64:Z65 U93:Z94 U102:Z103 U72:Z91 U11:Z37 AA11:AA39 AA41:AA225</xm:sqref>
        </x14:conditionalFormatting>
        <x14:conditionalFormatting xmlns:xm="http://schemas.microsoft.com/office/excel/2006/main">
          <x14:cfRule type="expression" priority="6935" id="{6470B74F-A8AF-495C-B6F5-853222BCD4E5}">
            <xm:f>$Z$8='Assessment Details'!$Q$23</xm:f>
            <x14:dxf>
              <border>
                <left style="thin">
                  <color theme="0"/>
                </left>
                <right style="thin">
                  <color theme="0"/>
                </right>
                <top style="thin">
                  <color theme="0"/>
                </top>
                <bottom style="thin">
                  <color theme="0"/>
                </bottom>
                <vertical/>
                <horizontal/>
              </border>
            </x14:dxf>
          </x14:cfRule>
          <xm:sqref>U2:AA2 U10:AA10 U64:Z65 U93:Z94 U102:Z103 U72:Z91 U11:Z37 AA11:AA39 AA41:AA225</xm:sqref>
        </x14:conditionalFormatting>
        <x14:conditionalFormatting xmlns:xm="http://schemas.microsoft.com/office/excel/2006/main">
          <x14:cfRule type="expression" priority="1048" id="{2298EEF2-E470-443F-B53F-42C72C43AD19}">
            <xm:f>$S$8='Assessment Details'!$Q$23</xm:f>
            <x14:dxf>
              <font>
                <color theme="0"/>
              </font>
              <fill>
                <patternFill>
                  <bgColor theme="0"/>
                </patternFill>
              </fill>
              <border>
                <vertical/>
                <horizontal/>
              </border>
            </x14:dxf>
          </x14:cfRule>
          <xm:sqref>N63:S63</xm:sqref>
        </x14:conditionalFormatting>
        <x14:conditionalFormatting xmlns:xm="http://schemas.microsoft.com/office/excel/2006/main">
          <x14:cfRule type="expression" priority="1047" id="{F02FCAFD-237A-4971-86FA-60B30CE34A99}">
            <xm:f>$S$8='Assessment Details'!$Q$23</xm:f>
            <x14:dxf>
              <border>
                <left style="thin">
                  <color theme="0"/>
                </left>
                <right style="thin">
                  <color theme="0"/>
                </right>
                <top style="thin">
                  <color theme="0"/>
                </top>
                <bottom style="thin">
                  <color theme="0"/>
                </bottom>
                <vertical/>
                <horizontal/>
              </border>
            </x14:dxf>
          </x14:cfRule>
          <xm:sqref>N63:S63</xm:sqref>
        </x14:conditionalFormatting>
        <x14:conditionalFormatting xmlns:xm="http://schemas.microsoft.com/office/excel/2006/main">
          <x14:cfRule type="expression" priority="1046" id="{74BF6AB4-4ABE-453C-B3E5-BE12679CD5B4}">
            <xm:f>$S$8='Assessment Details'!$Q$23</xm:f>
            <x14:dxf>
              <font>
                <color theme="0"/>
              </font>
              <fill>
                <patternFill>
                  <bgColor theme="0"/>
                </patternFill>
              </fill>
              <border>
                <vertical/>
                <horizontal/>
              </border>
            </x14:dxf>
          </x14:cfRule>
          <xm:sqref>G63</xm:sqref>
        </x14:conditionalFormatting>
        <x14:conditionalFormatting xmlns:xm="http://schemas.microsoft.com/office/excel/2006/main">
          <x14:cfRule type="expression" priority="1045" id="{8B45EB01-FFD3-4C24-88F9-D8238CE5143B}">
            <xm:f>$S$8='Assessment Details'!$Q$23</xm:f>
            <x14:dxf>
              <border>
                <left style="thin">
                  <color theme="0"/>
                </left>
                <right style="thin">
                  <color theme="0"/>
                </right>
                <top style="thin">
                  <color theme="0"/>
                </top>
                <bottom style="thin">
                  <color theme="0"/>
                </bottom>
                <vertical/>
                <horizontal/>
              </border>
            </x14:dxf>
          </x14:cfRule>
          <xm:sqref>G63</xm:sqref>
        </x14:conditionalFormatting>
        <x14:conditionalFormatting xmlns:xm="http://schemas.microsoft.com/office/excel/2006/main">
          <x14:cfRule type="expression" priority="1044" id="{CBF5C216-270B-4918-BA3E-52FA360B4524}">
            <xm:f>$S$8='Assessment Details'!$Q$23</xm:f>
            <x14:dxf>
              <font>
                <color theme="0"/>
              </font>
              <fill>
                <patternFill>
                  <bgColor theme="0"/>
                </patternFill>
              </fill>
              <border>
                <vertical/>
                <horizontal/>
              </border>
            </x14:dxf>
          </x14:cfRule>
          <xm:sqref>U63</xm:sqref>
        </x14:conditionalFormatting>
        <x14:conditionalFormatting xmlns:xm="http://schemas.microsoft.com/office/excel/2006/main">
          <x14:cfRule type="expression" priority="1043" id="{3BA86F3E-1084-48B8-BAE0-F7699C420902}">
            <xm:f>$S$8='Assessment Details'!$Q$23</xm:f>
            <x14:dxf>
              <border>
                <left style="thin">
                  <color theme="0"/>
                </left>
                <right style="thin">
                  <color theme="0"/>
                </right>
                <top style="thin">
                  <color theme="0"/>
                </top>
                <bottom style="thin">
                  <color theme="0"/>
                </bottom>
                <vertical/>
                <horizontal/>
              </border>
            </x14:dxf>
          </x14:cfRule>
          <xm:sqref>U63</xm:sqref>
        </x14:conditionalFormatting>
        <x14:conditionalFormatting xmlns:xm="http://schemas.microsoft.com/office/excel/2006/main">
          <x14:cfRule type="expression" priority="1042" id="{72E64144-6FFD-48BF-A705-7EA30C4EFA31}">
            <xm:f>$S$8='Assessment Details'!$Q$23</xm:f>
            <x14:dxf>
              <font>
                <color theme="0"/>
              </font>
              <fill>
                <patternFill>
                  <bgColor theme="0"/>
                </patternFill>
              </fill>
              <border>
                <vertical/>
                <horizontal/>
              </border>
            </x14:dxf>
          </x14:cfRule>
          <xm:sqref>W63</xm:sqref>
        </x14:conditionalFormatting>
        <x14:conditionalFormatting xmlns:xm="http://schemas.microsoft.com/office/excel/2006/main">
          <x14:cfRule type="expression" priority="1041" id="{5DF2B492-F90B-4162-8AE4-E733DD748AE4}">
            <xm:f>$S$8='Assessment Details'!$Q$23</xm:f>
            <x14:dxf>
              <border>
                <left style="thin">
                  <color theme="0"/>
                </left>
                <right style="thin">
                  <color theme="0"/>
                </right>
                <top style="thin">
                  <color theme="0"/>
                </top>
                <bottom style="thin">
                  <color theme="0"/>
                </bottom>
                <vertical/>
                <horizontal/>
              </border>
            </x14:dxf>
          </x14:cfRule>
          <xm:sqref>W63</xm:sqref>
        </x14:conditionalFormatting>
        <x14:conditionalFormatting xmlns:xm="http://schemas.microsoft.com/office/excel/2006/main">
          <x14:cfRule type="expression" priority="1062" id="{DDE52D2E-1E3C-4979-8EC8-6DEE293965C2}">
            <xm:f>$Z$8='Assessment Details'!$Q$23</xm:f>
            <x14:dxf>
              <font>
                <color theme="0"/>
              </font>
              <fill>
                <patternFill>
                  <bgColor theme="0"/>
                </patternFill>
              </fill>
            </x14:dxf>
          </x14:cfRule>
          <xm:sqref>U63:Z63</xm:sqref>
        </x14:conditionalFormatting>
        <x14:conditionalFormatting xmlns:xm="http://schemas.microsoft.com/office/excel/2006/main">
          <x14:cfRule type="expression" priority="1063" id="{D7372E7F-6A45-4FAB-8CA3-6F4D54C418E7}">
            <xm:f>$Z$8='Assessment Details'!$Q$23</xm:f>
            <x14:dxf>
              <border>
                <left style="thin">
                  <color theme="0"/>
                </left>
                <right style="thin">
                  <color theme="0"/>
                </right>
                <top style="thin">
                  <color theme="0"/>
                </top>
                <bottom style="thin">
                  <color theme="0"/>
                </bottom>
                <vertical/>
                <horizontal/>
              </border>
            </x14:dxf>
          </x14:cfRule>
          <xm:sqref>U63:Z63</xm:sqref>
        </x14:conditionalFormatting>
        <x14:conditionalFormatting xmlns:xm="http://schemas.microsoft.com/office/excel/2006/main">
          <x14:cfRule type="expression" priority="1025" id="{28C3C2BD-E73D-4494-8B6F-8E058FE9734D}">
            <xm:f>$S$8='Assessment Details'!$Q$23</xm:f>
            <x14:dxf>
              <font>
                <color theme="0"/>
              </font>
              <fill>
                <patternFill>
                  <bgColor theme="0"/>
                </patternFill>
              </fill>
              <border>
                <vertical/>
                <horizontal/>
              </border>
            </x14:dxf>
          </x14:cfRule>
          <xm:sqref>N92:S92</xm:sqref>
        </x14:conditionalFormatting>
        <x14:conditionalFormatting xmlns:xm="http://schemas.microsoft.com/office/excel/2006/main">
          <x14:cfRule type="expression" priority="1024" id="{074C1696-F965-4065-A9BB-04540D9CEFC0}">
            <xm:f>$S$8='Assessment Details'!$Q$23</xm:f>
            <x14:dxf>
              <border>
                <left style="thin">
                  <color theme="0"/>
                </left>
                <right style="thin">
                  <color theme="0"/>
                </right>
                <top style="thin">
                  <color theme="0"/>
                </top>
                <bottom style="thin">
                  <color theme="0"/>
                </bottom>
                <vertical/>
                <horizontal/>
              </border>
            </x14:dxf>
          </x14:cfRule>
          <xm:sqref>N92:S92</xm:sqref>
        </x14:conditionalFormatting>
        <x14:conditionalFormatting xmlns:xm="http://schemas.microsoft.com/office/excel/2006/main">
          <x14:cfRule type="expression" priority="1023" id="{27722DD9-AEEA-49F7-8B9E-F80E4399173D}">
            <xm:f>$S$8='Assessment Details'!$Q$23</xm:f>
            <x14:dxf>
              <font>
                <color theme="0"/>
              </font>
              <fill>
                <patternFill>
                  <bgColor theme="0"/>
                </patternFill>
              </fill>
              <border>
                <vertical/>
                <horizontal/>
              </border>
            </x14:dxf>
          </x14:cfRule>
          <xm:sqref>G92</xm:sqref>
        </x14:conditionalFormatting>
        <x14:conditionalFormatting xmlns:xm="http://schemas.microsoft.com/office/excel/2006/main">
          <x14:cfRule type="expression" priority="1022" id="{DDFAADA0-5956-48C0-BB4B-E4386CCFDE34}">
            <xm:f>$S$8='Assessment Details'!$Q$23</xm:f>
            <x14:dxf>
              <border>
                <left style="thin">
                  <color theme="0"/>
                </left>
                <right style="thin">
                  <color theme="0"/>
                </right>
                <top style="thin">
                  <color theme="0"/>
                </top>
                <bottom style="thin">
                  <color theme="0"/>
                </bottom>
                <vertical/>
                <horizontal/>
              </border>
            </x14:dxf>
          </x14:cfRule>
          <xm:sqref>G92</xm:sqref>
        </x14:conditionalFormatting>
        <x14:conditionalFormatting xmlns:xm="http://schemas.microsoft.com/office/excel/2006/main">
          <x14:cfRule type="expression" priority="1021" id="{7626F755-BD30-4B95-8FF9-61BB470D4AE5}">
            <xm:f>$S$8='Assessment Details'!$Q$23</xm:f>
            <x14:dxf>
              <font>
                <color theme="0"/>
              </font>
              <fill>
                <patternFill>
                  <bgColor theme="0"/>
                </patternFill>
              </fill>
              <border>
                <vertical/>
                <horizontal/>
              </border>
            </x14:dxf>
          </x14:cfRule>
          <xm:sqref>U92</xm:sqref>
        </x14:conditionalFormatting>
        <x14:conditionalFormatting xmlns:xm="http://schemas.microsoft.com/office/excel/2006/main">
          <x14:cfRule type="expression" priority="1020" id="{9C1229C9-1672-47D2-ADE6-9A30C3F01FB3}">
            <xm:f>$S$8='Assessment Details'!$Q$23</xm:f>
            <x14:dxf>
              <border>
                <left style="thin">
                  <color theme="0"/>
                </left>
                <right style="thin">
                  <color theme="0"/>
                </right>
                <top style="thin">
                  <color theme="0"/>
                </top>
                <bottom style="thin">
                  <color theme="0"/>
                </bottom>
                <vertical/>
                <horizontal/>
              </border>
            </x14:dxf>
          </x14:cfRule>
          <xm:sqref>U92</xm:sqref>
        </x14:conditionalFormatting>
        <x14:conditionalFormatting xmlns:xm="http://schemas.microsoft.com/office/excel/2006/main">
          <x14:cfRule type="expression" priority="1019" id="{A0B802F6-4141-411F-848C-73D4DE6FF722}">
            <xm:f>$S$8='Assessment Details'!$Q$23</xm:f>
            <x14:dxf>
              <font>
                <color theme="0"/>
              </font>
              <fill>
                <patternFill>
                  <bgColor theme="0"/>
                </patternFill>
              </fill>
              <border>
                <vertical/>
                <horizontal/>
              </border>
            </x14:dxf>
          </x14:cfRule>
          <xm:sqref>W92</xm:sqref>
        </x14:conditionalFormatting>
        <x14:conditionalFormatting xmlns:xm="http://schemas.microsoft.com/office/excel/2006/main">
          <x14:cfRule type="expression" priority="1018" id="{F02BC133-491D-402D-AC41-2A263B5F9395}">
            <xm:f>$S$8='Assessment Details'!$Q$23</xm:f>
            <x14:dxf>
              <border>
                <left style="thin">
                  <color theme="0"/>
                </left>
                <right style="thin">
                  <color theme="0"/>
                </right>
                <top style="thin">
                  <color theme="0"/>
                </top>
                <bottom style="thin">
                  <color theme="0"/>
                </bottom>
                <vertical/>
                <horizontal/>
              </border>
            </x14:dxf>
          </x14:cfRule>
          <xm:sqref>W92</xm:sqref>
        </x14:conditionalFormatting>
        <x14:conditionalFormatting xmlns:xm="http://schemas.microsoft.com/office/excel/2006/main">
          <x14:cfRule type="expression" priority="1039" id="{ED122FC8-685A-4CD0-B196-3B87E709F630}">
            <xm:f>$Z$8='Assessment Details'!$Q$23</xm:f>
            <x14:dxf>
              <font>
                <color theme="0"/>
              </font>
              <fill>
                <patternFill>
                  <bgColor theme="0"/>
                </patternFill>
              </fill>
            </x14:dxf>
          </x14:cfRule>
          <xm:sqref>U92:Z92</xm:sqref>
        </x14:conditionalFormatting>
        <x14:conditionalFormatting xmlns:xm="http://schemas.microsoft.com/office/excel/2006/main">
          <x14:cfRule type="expression" priority="1040" id="{37BD6D06-D11A-49DB-8816-96940871D5C0}">
            <xm:f>$Z$8='Assessment Details'!$Q$23</xm:f>
            <x14:dxf>
              <border>
                <left style="thin">
                  <color theme="0"/>
                </left>
                <right style="thin">
                  <color theme="0"/>
                </right>
                <top style="thin">
                  <color theme="0"/>
                </top>
                <bottom style="thin">
                  <color theme="0"/>
                </bottom>
                <vertical/>
                <horizontal/>
              </border>
            </x14:dxf>
          </x14:cfRule>
          <xm:sqref>U92:Z92</xm:sqref>
        </x14:conditionalFormatting>
        <x14:conditionalFormatting xmlns:xm="http://schemas.microsoft.com/office/excel/2006/main">
          <x14:cfRule type="expression" priority="1002" id="{7AA700BF-8308-41D7-833B-82FD6E7F9262}">
            <xm:f>$S$8='Assessment Details'!$Q$23</xm:f>
            <x14:dxf>
              <font>
                <color theme="0"/>
              </font>
              <fill>
                <patternFill>
                  <bgColor theme="0"/>
                </patternFill>
              </fill>
              <border>
                <vertical/>
                <horizontal/>
              </border>
            </x14:dxf>
          </x14:cfRule>
          <xm:sqref>N101:S101</xm:sqref>
        </x14:conditionalFormatting>
        <x14:conditionalFormatting xmlns:xm="http://schemas.microsoft.com/office/excel/2006/main">
          <x14:cfRule type="expression" priority="1001" id="{0FA4A83B-69D5-4C51-A6A3-5A737EA07BE0}">
            <xm:f>$S$8='Assessment Details'!$Q$23</xm:f>
            <x14:dxf>
              <border>
                <left style="thin">
                  <color theme="0"/>
                </left>
                <right style="thin">
                  <color theme="0"/>
                </right>
                <top style="thin">
                  <color theme="0"/>
                </top>
                <bottom style="thin">
                  <color theme="0"/>
                </bottom>
                <vertical/>
                <horizontal/>
              </border>
            </x14:dxf>
          </x14:cfRule>
          <xm:sqref>N101:S101</xm:sqref>
        </x14:conditionalFormatting>
        <x14:conditionalFormatting xmlns:xm="http://schemas.microsoft.com/office/excel/2006/main">
          <x14:cfRule type="expression" priority="1000" id="{F21151FC-D5C3-42E0-9A86-C2A9031DC0EB}">
            <xm:f>$S$8='Assessment Details'!$Q$23</xm:f>
            <x14:dxf>
              <font>
                <color theme="0"/>
              </font>
              <fill>
                <patternFill>
                  <bgColor theme="0"/>
                </patternFill>
              </fill>
              <border>
                <vertical/>
                <horizontal/>
              </border>
            </x14:dxf>
          </x14:cfRule>
          <xm:sqref>G101</xm:sqref>
        </x14:conditionalFormatting>
        <x14:conditionalFormatting xmlns:xm="http://schemas.microsoft.com/office/excel/2006/main">
          <x14:cfRule type="expression" priority="999" id="{E0C6D475-8D15-4C28-B210-641FF14B3A49}">
            <xm:f>$S$8='Assessment Details'!$Q$23</xm:f>
            <x14:dxf>
              <border>
                <left style="thin">
                  <color theme="0"/>
                </left>
                <right style="thin">
                  <color theme="0"/>
                </right>
                <top style="thin">
                  <color theme="0"/>
                </top>
                <bottom style="thin">
                  <color theme="0"/>
                </bottom>
                <vertical/>
                <horizontal/>
              </border>
            </x14:dxf>
          </x14:cfRule>
          <xm:sqref>G101</xm:sqref>
        </x14:conditionalFormatting>
        <x14:conditionalFormatting xmlns:xm="http://schemas.microsoft.com/office/excel/2006/main">
          <x14:cfRule type="expression" priority="998" id="{33965755-1D96-4E8D-83F2-5EC690BE09B0}">
            <xm:f>$S$8='Assessment Details'!$Q$23</xm:f>
            <x14:dxf>
              <font>
                <color theme="0"/>
              </font>
              <fill>
                <patternFill>
                  <bgColor theme="0"/>
                </patternFill>
              </fill>
              <border>
                <vertical/>
                <horizontal/>
              </border>
            </x14:dxf>
          </x14:cfRule>
          <xm:sqref>U101</xm:sqref>
        </x14:conditionalFormatting>
        <x14:conditionalFormatting xmlns:xm="http://schemas.microsoft.com/office/excel/2006/main">
          <x14:cfRule type="expression" priority="997" id="{81DA8577-C4D2-4D60-B1A7-4DBDA5DD5CE0}">
            <xm:f>$S$8='Assessment Details'!$Q$23</xm:f>
            <x14:dxf>
              <border>
                <left style="thin">
                  <color theme="0"/>
                </left>
                <right style="thin">
                  <color theme="0"/>
                </right>
                <top style="thin">
                  <color theme="0"/>
                </top>
                <bottom style="thin">
                  <color theme="0"/>
                </bottom>
                <vertical/>
                <horizontal/>
              </border>
            </x14:dxf>
          </x14:cfRule>
          <xm:sqref>U101</xm:sqref>
        </x14:conditionalFormatting>
        <x14:conditionalFormatting xmlns:xm="http://schemas.microsoft.com/office/excel/2006/main">
          <x14:cfRule type="expression" priority="996" id="{C3E2AB4D-853E-4EE3-A770-FB3D4DC5CFB8}">
            <xm:f>$S$8='Assessment Details'!$Q$23</xm:f>
            <x14:dxf>
              <font>
                <color theme="0"/>
              </font>
              <fill>
                <patternFill>
                  <bgColor theme="0"/>
                </patternFill>
              </fill>
              <border>
                <vertical/>
                <horizontal/>
              </border>
            </x14:dxf>
          </x14:cfRule>
          <xm:sqref>W101</xm:sqref>
        </x14:conditionalFormatting>
        <x14:conditionalFormatting xmlns:xm="http://schemas.microsoft.com/office/excel/2006/main">
          <x14:cfRule type="expression" priority="995" id="{22F2B09E-E77C-4A35-9724-B076655A268F}">
            <xm:f>$S$8='Assessment Details'!$Q$23</xm:f>
            <x14:dxf>
              <border>
                <left style="thin">
                  <color theme="0"/>
                </left>
                <right style="thin">
                  <color theme="0"/>
                </right>
                <top style="thin">
                  <color theme="0"/>
                </top>
                <bottom style="thin">
                  <color theme="0"/>
                </bottom>
                <vertical/>
                <horizontal/>
              </border>
            </x14:dxf>
          </x14:cfRule>
          <xm:sqref>W101</xm:sqref>
        </x14:conditionalFormatting>
        <x14:conditionalFormatting xmlns:xm="http://schemas.microsoft.com/office/excel/2006/main">
          <x14:cfRule type="expression" priority="1016" id="{0253E361-59AA-4EF7-B5FB-2B4A9F3133B7}">
            <xm:f>$Z$8='Assessment Details'!$Q$23</xm:f>
            <x14:dxf>
              <font>
                <color theme="0"/>
              </font>
              <fill>
                <patternFill>
                  <bgColor theme="0"/>
                </patternFill>
              </fill>
            </x14:dxf>
          </x14:cfRule>
          <xm:sqref>U101:Z101</xm:sqref>
        </x14:conditionalFormatting>
        <x14:conditionalFormatting xmlns:xm="http://schemas.microsoft.com/office/excel/2006/main">
          <x14:cfRule type="expression" priority="1017" id="{A6659ED7-93B4-4CE8-A9C7-02A05248F6FE}">
            <xm:f>$Z$8='Assessment Details'!$Q$23</xm:f>
            <x14:dxf>
              <border>
                <left style="thin">
                  <color theme="0"/>
                </left>
                <right style="thin">
                  <color theme="0"/>
                </right>
                <top style="thin">
                  <color theme="0"/>
                </top>
                <bottom style="thin">
                  <color theme="0"/>
                </bottom>
                <vertical/>
                <horizontal/>
              </border>
            </x14:dxf>
          </x14:cfRule>
          <xm:sqref>U101:Z101</xm:sqref>
        </x14:conditionalFormatting>
        <x14:conditionalFormatting xmlns:xm="http://schemas.microsoft.com/office/excel/2006/main">
          <x14:cfRule type="expression" priority="818" id="{9C42B326-4946-45BE-9FA3-67FDB0291C68}">
            <xm:f>$S$8='Assessment Details'!$Q$23</xm:f>
            <x14:dxf>
              <font>
                <color theme="0"/>
              </font>
              <fill>
                <patternFill>
                  <bgColor theme="0"/>
                </patternFill>
              </fill>
              <border>
                <vertical/>
                <horizontal/>
              </border>
            </x14:dxf>
          </x14:cfRule>
          <xm:sqref>N38:S39 N41:S62</xm:sqref>
        </x14:conditionalFormatting>
        <x14:conditionalFormatting xmlns:xm="http://schemas.microsoft.com/office/excel/2006/main">
          <x14:cfRule type="expression" priority="817" id="{5D6CE809-3ABC-4CAA-9C25-4DCB04855D26}">
            <xm:f>$S$8='Assessment Details'!$Q$23</xm:f>
            <x14:dxf>
              <border>
                <left style="thin">
                  <color theme="0"/>
                </left>
                <right style="thin">
                  <color theme="0"/>
                </right>
                <top style="thin">
                  <color theme="0"/>
                </top>
                <bottom style="thin">
                  <color theme="0"/>
                </bottom>
                <vertical/>
                <horizontal/>
              </border>
            </x14:dxf>
          </x14:cfRule>
          <xm:sqref>N38:S39 N41:S62</xm:sqref>
        </x14:conditionalFormatting>
        <x14:conditionalFormatting xmlns:xm="http://schemas.microsoft.com/office/excel/2006/main">
          <x14:cfRule type="expression" priority="816" id="{3EB1206A-4193-4D0A-B517-6ACDCEB1C113}">
            <xm:f>$S$8='Assessment Details'!$Q$23</xm:f>
            <x14:dxf>
              <font>
                <color theme="0"/>
              </font>
              <fill>
                <patternFill>
                  <bgColor theme="0"/>
                </patternFill>
              </fill>
              <border>
                <vertical/>
                <horizontal/>
              </border>
            </x14:dxf>
          </x14:cfRule>
          <xm:sqref>G38:G39 G41:G62</xm:sqref>
        </x14:conditionalFormatting>
        <x14:conditionalFormatting xmlns:xm="http://schemas.microsoft.com/office/excel/2006/main">
          <x14:cfRule type="expression" priority="815" id="{30E26A2C-1B8E-48F0-BA66-8AFE45EE3DF2}">
            <xm:f>$S$8='Assessment Details'!$Q$23</xm:f>
            <x14:dxf>
              <border>
                <left style="thin">
                  <color theme="0"/>
                </left>
                <right style="thin">
                  <color theme="0"/>
                </right>
                <top style="thin">
                  <color theme="0"/>
                </top>
                <bottom style="thin">
                  <color theme="0"/>
                </bottom>
                <vertical/>
                <horizontal/>
              </border>
            </x14:dxf>
          </x14:cfRule>
          <xm:sqref>G38:G39 G41:G62</xm:sqref>
        </x14:conditionalFormatting>
        <x14:conditionalFormatting xmlns:xm="http://schemas.microsoft.com/office/excel/2006/main">
          <x14:cfRule type="expression" priority="814" id="{7B8499D6-4B13-49D3-B4C8-E519E69B9855}">
            <xm:f>$S$8='Assessment Details'!$Q$23</xm:f>
            <x14:dxf>
              <font>
                <color theme="0"/>
              </font>
              <fill>
                <patternFill>
                  <bgColor theme="0"/>
                </patternFill>
              </fill>
              <border>
                <vertical/>
                <horizontal/>
              </border>
            </x14:dxf>
          </x14:cfRule>
          <xm:sqref>U38:U39 U41:U62</xm:sqref>
        </x14:conditionalFormatting>
        <x14:conditionalFormatting xmlns:xm="http://schemas.microsoft.com/office/excel/2006/main">
          <x14:cfRule type="expression" priority="813" id="{A117033E-E655-4A44-BFA9-08E218A7EB1E}">
            <xm:f>$S$8='Assessment Details'!$Q$23</xm:f>
            <x14:dxf>
              <border>
                <left style="thin">
                  <color theme="0"/>
                </left>
                <right style="thin">
                  <color theme="0"/>
                </right>
                <top style="thin">
                  <color theme="0"/>
                </top>
                <bottom style="thin">
                  <color theme="0"/>
                </bottom>
                <vertical/>
                <horizontal/>
              </border>
            </x14:dxf>
          </x14:cfRule>
          <xm:sqref>U38:U39 U41:U62</xm:sqref>
        </x14:conditionalFormatting>
        <x14:conditionalFormatting xmlns:xm="http://schemas.microsoft.com/office/excel/2006/main">
          <x14:cfRule type="expression" priority="808" id="{58BBA893-EE42-479E-A228-CEB617BB1DFE}">
            <xm:f>$S$8='Assessment Details'!$Q$23</xm:f>
            <x14:dxf>
              <font>
                <color theme="0"/>
              </font>
              <fill>
                <patternFill>
                  <bgColor theme="0"/>
                </patternFill>
              </fill>
              <border>
                <vertical/>
                <horizontal/>
              </border>
            </x14:dxf>
          </x14:cfRule>
          <xm:sqref>N38:N39 N41:N62</xm:sqref>
        </x14:conditionalFormatting>
        <x14:conditionalFormatting xmlns:xm="http://schemas.microsoft.com/office/excel/2006/main">
          <x14:cfRule type="expression" priority="807" id="{60E74A6C-F277-4877-A9A1-CD29765B9645}">
            <xm:f>$S$8='Assessment Details'!$Q$23</xm:f>
            <x14:dxf>
              <border>
                <left style="thin">
                  <color theme="0"/>
                </left>
                <right style="thin">
                  <color theme="0"/>
                </right>
                <top style="thin">
                  <color theme="0"/>
                </top>
                <bottom style="thin">
                  <color theme="0"/>
                </bottom>
                <vertical/>
                <horizontal/>
              </border>
            </x14:dxf>
          </x14:cfRule>
          <xm:sqref>N38:N39 N41:N62</xm:sqref>
        </x14:conditionalFormatting>
        <x14:conditionalFormatting xmlns:xm="http://schemas.microsoft.com/office/excel/2006/main">
          <x14:cfRule type="expression" priority="802" id="{BB31C667-15BE-44DF-8F3B-9A880991D59B}">
            <xm:f>$S$8='Assessment Details'!$Q$23</xm:f>
            <x14:dxf>
              <font>
                <color theme="0"/>
              </font>
              <fill>
                <patternFill>
                  <bgColor theme="0"/>
                </patternFill>
              </fill>
              <border>
                <vertical/>
                <horizontal/>
              </border>
            </x14:dxf>
          </x14:cfRule>
          <xm:sqref>U38:U39 U41:U62</xm:sqref>
        </x14:conditionalFormatting>
        <x14:conditionalFormatting xmlns:xm="http://schemas.microsoft.com/office/excel/2006/main">
          <x14:cfRule type="expression" priority="801" id="{24CC7E33-6DA0-4FC9-B3D0-1954DB89AA81}">
            <xm:f>$S$8='Assessment Details'!$Q$23</xm:f>
            <x14:dxf>
              <border>
                <left style="thin">
                  <color theme="0"/>
                </left>
                <right style="thin">
                  <color theme="0"/>
                </right>
                <top style="thin">
                  <color theme="0"/>
                </top>
                <bottom style="thin">
                  <color theme="0"/>
                </bottom>
                <vertical/>
                <horizontal/>
              </border>
            </x14:dxf>
          </x14:cfRule>
          <xm:sqref>U38:U39 U41:U62</xm:sqref>
        </x14:conditionalFormatting>
        <x14:conditionalFormatting xmlns:xm="http://schemas.microsoft.com/office/excel/2006/main">
          <x14:cfRule type="expression" priority="800" id="{929D4BA1-9A0C-4A8B-A3B4-6BCE04D15D41}">
            <xm:f>$S$8='Assessment Details'!$Q$23</xm:f>
            <x14:dxf>
              <font>
                <color theme="0"/>
              </font>
              <fill>
                <patternFill>
                  <bgColor theme="0"/>
                </patternFill>
              </fill>
              <border>
                <vertical/>
                <horizontal/>
              </border>
            </x14:dxf>
          </x14:cfRule>
          <xm:sqref>W38:W39 W41:W62</xm:sqref>
        </x14:conditionalFormatting>
        <x14:conditionalFormatting xmlns:xm="http://schemas.microsoft.com/office/excel/2006/main">
          <x14:cfRule type="expression" priority="799" id="{88D20FA6-DEF5-489A-861F-47DA95BA509C}">
            <xm:f>$S$8='Assessment Details'!$Q$23</xm:f>
            <x14:dxf>
              <border>
                <left style="thin">
                  <color theme="0"/>
                </left>
                <right style="thin">
                  <color theme="0"/>
                </right>
                <top style="thin">
                  <color theme="0"/>
                </top>
                <bottom style="thin">
                  <color theme="0"/>
                </bottom>
                <vertical/>
                <horizontal/>
              </border>
            </x14:dxf>
          </x14:cfRule>
          <xm:sqref>W38:W39 W41:W62</xm:sqref>
        </x14:conditionalFormatting>
        <x14:conditionalFormatting xmlns:xm="http://schemas.microsoft.com/office/excel/2006/main">
          <x14:cfRule type="expression" priority="832" id="{C66728D3-1D28-4219-89FD-72DCBD8DE62E}">
            <xm:f>$Z$8='Assessment Details'!$Q$23</xm:f>
            <x14:dxf>
              <font>
                <color theme="0"/>
              </font>
              <fill>
                <patternFill>
                  <bgColor theme="0"/>
                </patternFill>
              </fill>
            </x14:dxf>
          </x14:cfRule>
          <xm:sqref>U38:Z39 U41:Z62</xm:sqref>
        </x14:conditionalFormatting>
        <x14:conditionalFormatting xmlns:xm="http://schemas.microsoft.com/office/excel/2006/main">
          <x14:cfRule type="expression" priority="833" id="{57837F53-3A9F-4F0C-854D-8A4F5A398BCE}">
            <xm:f>$Z$8='Assessment Details'!$Q$23</xm:f>
            <x14:dxf>
              <border>
                <left style="thin">
                  <color theme="0"/>
                </left>
                <right style="thin">
                  <color theme="0"/>
                </right>
                <top style="thin">
                  <color theme="0"/>
                </top>
                <bottom style="thin">
                  <color theme="0"/>
                </bottom>
                <vertical/>
                <horizontal/>
              </border>
            </x14:dxf>
          </x14:cfRule>
          <xm:sqref>U38:Z39 U41:Z62</xm:sqref>
        </x14:conditionalFormatting>
        <x14:conditionalFormatting xmlns:xm="http://schemas.microsoft.com/office/excel/2006/main">
          <x14:cfRule type="expression" priority="783" id="{4FCADA7D-A197-4415-9BA2-3504C54CD72D}">
            <xm:f>$S$8='Assessment Details'!$Q$23</xm:f>
            <x14:dxf>
              <font>
                <color theme="0"/>
              </font>
              <fill>
                <patternFill>
                  <bgColor theme="0"/>
                </patternFill>
              </fill>
              <border>
                <vertical/>
                <horizontal/>
              </border>
            </x14:dxf>
          </x14:cfRule>
          <xm:sqref>N66:S70</xm:sqref>
        </x14:conditionalFormatting>
        <x14:conditionalFormatting xmlns:xm="http://schemas.microsoft.com/office/excel/2006/main">
          <x14:cfRule type="expression" priority="782" id="{FB2B46D0-D2BC-403B-922F-12790164563A}">
            <xm:f>$S$8='Assessment Details'!$Q$23</xm:f>
            <x14:dxf>
              <border>
                <left style="thin">
                  <color theme="0"/>
                </left>
                <right style="thin">
                  <color theme="0"/>
                </right>
                <top style="thin">
                  <color theme="0"/>
                </top>
                <bottom style="thin">
                  <color theme="0"/>
                </bottom>
                <vertical/>
                <horizontal/>
              </border>
            </x14:dxf>
          </x14:cfRule>
          <xm:sqref>N66:S70</xm:sqref>
        </x14:conditionalFormatting>
        <x14:conditionalFormatting xmlns:xm="http://schemas.microsoft.com/office/excel/2006/main">
          <x14:cfRule type="expression" priority="781" id="{E2A84904-571E-4F8D-95B1-9B870836F8EA}">
            <xm:f>$S$8='Assessment Details'!$Q$23</xm:f>
            <x14:dxf>
              <font>
                <color theme="0"/>
              </font>
              <fill>
                <patternFill>
                  <bgColor theme="0"/>
                </patternFill>
              </fill>
              <border>
                <vertical/>
                <horizontal/>
              </border>
            </x14:dxf>
          </x14:cfRule>
          <xm:sqref>G66:G70</xm:sqref>
        </x14:conditionalFormatting>
        <x14:conditionalFormatting xmlns:xm="http://schemas.microsoft.com/office/excel/2006/main">
          <x14:cfRule type="expression" priority="780" id="{EA486EF2-13DC-46B1-BF5A-E0AB6C967967}">
            <xm:f>$S$8='Assessment Details'!$Q$23</xm:f>
            <x14:dxf>
              <border>
                <left style="thin">
                  <color theme="0"/>
                </left>
                <right style="thin">
                  <color theme="0"/>
                </right>
                <top style="thin">
                  <color theme="0"/>
                </top>
                <bottom style="thin">
                  <color theme="0"/>
                </bottom>
                <vertical/>
                <horizontal/>
              </border>
            </x14:dxf>
          </x14:cfRule>
          <xm:sqref>G66:G70</xm:sqref>
        </x14:conditionalFormatting>
        <x14:conditionalFormatting xmlns:xm="http://schemas.microsoft.com/office/excel/2006/main">
          <x14:cfRule type="expression" priority="779" id="{15950DC4-CC84-44B1-AC60-7AF91F1FDD6F}">
            <xm:f>$S$8='Assessment Details'!$Q$23</xm:f>
            <x14:dxf>
              <font>
                <color theme="0"/>
              </font>
              <fill>
                <patternFill>
                  <bgColor theme="0"/>
                </patternFill>
              </fill>
              <border>
                <vertical/>
                <horizontal/>
              </border>
            </x14:dxf>
          </x14:cfRule>
          <xm:sqref>U66:U70</xm:sqref>
        </x14:conditionalFormatting>
        <x14:conditionalFormatting xmlns:xm="http://schemas.microsoft.com/office/excel/2006/main">
          <x14:cfRule type="expression" priority="778" id="{B667FFB4-5A4F-4B9A-90AD-6C8824424B54}">
            <xm:f>$S$8='Assessment Details'!$Q$23</xm:f>
            <x14:dxf>
              <border>
                <left style="thin">
                  <color theme="0"/>
                </left>
                <right style="thin">
                  <color theme="0"/>
                </right>
                <top style="thin">
                  <color theme="0"/>
                </top>
                <bottom style="thin">
                  <color theme="0"/>
                </bottom>
                <vertical/>
                <horizontal/>
              </border>
            </x14:dxf>
          </x14:cfRule>
          <xm:sqref>U66:U70</xm:sqref>
        </x14:conditionalFormatting>
        <x14:conditionalFormatting xmlns:xm="http://schemas.microsoft.com/office/excel/2006/main">
          <x14:cfRule type="expression" priority="773" id="{62E45316-1115-49E1-B404-4F808D4A7630}">
            <xm:f>$S$8='Assessment Details'!$Q$23</xm:f>
            <x14:dxf>
              <font>
                <color theme="0"/>
              </font>
              <fill>
                <patternFill>
                  <bgColor theme="0"/>
                </patternFill>
              </fill>
              <border>
                <vertical/>
                <horizontal/>
              </border>
            </x14:dxf>
          </x14:cfRule>
          <xm:sqref>N66:N70</xm:sqref>
        </x14:conditionalFormatting>
        <x14:conditionalFormatting xmlns:xm="http://schemas.microsoft.com/office/excel/2006/main">
          <x14:cfRule type="expression" priority="772" id="{EE69091F-85CF-4D4C-87ED-CA760913C1BA}">
            <xm:f>$S$8='Assessment Details'!$Q$23</xm:f>
            <x14:dxf>
              <border>
                <left style="thin">
                  <color theme="0"/>
                </left>
                <right style="thin">
                  <color theme="0"/>
                </right>
                <top style="thin">
                  <color theme="0"/>
                </top>
                <bottom style="thin">
                  <color theme="0"/>
                </bottom>
                <vertical/>
                <horizontal/>
              </border>
            </x14:dxf>
          </x14:cfRule>
          <xm:sqref>N66:N70</xm:sqref>
        </x14:conditionalFormatting>
        <x14:conditionalFormatting xmlns:xm="http://schemas.microsoft.com/office/excel/2006/main">
          <x14:cfRule type="expression" priority="767" id="{23C69510-D6C1-47E6-A291-45444BED47B6}">
            <xm:f>$S$8='Assessment Details'!$Q$23</xm:f>
            <x14:dxf>
              <font>
                <color theme="0"/>
              </font>
              <fill>
                <patternFill>
                  <bgColor theme="0"/>
                </patternFill>
              </fill>
              <border>
                <vertical/>
                <horizontal/>
              </border>
            </x14:dxf>
          </x14:cfRule>
          <xm:sqref>U66:U70</xm:sqref>
        </x14:conditionalFormatting>
        <x14:conditionalFormatting xmlns:xm="http://schemas.microsoft.com/office/excel/2006/main">
          <x14:cfRule type="expression" priority="766" id="{0C34D3B8-4096-4716-9C2A-64A7B6470AFB}">
            <xm:f>$S$8='Assessment Details'!$Q$23</xm:f>
            <x14:dxf>
              <border>
                <left style="thin">
                  <color theme="0"/>
                </left>
                <right style="thin">
                  <color theme="0"/>
                </right>
                <top style="thin">
                  <color theme="0"/>
                </top>
                <bottom style="thin">
                  <color theme="0"/>
                </bottom>
                <vertical/>
                <horizontal/>
              </border>
            </x14:dxf>
          </x14:cfRule>
          <xm:sqref>U66:U70</xm:sqref>
        </x14:conditionalFormatting>
        <x14:conditionalFormatting xmlns:xm="http://schemas.microsoft.com/office/excel/2006/main">
          <x14:cfRule type="expression" priority="765" id="{91C3642B-20F9-48C8-BBCE-E25B520CAF1E}">
            <xm:f>$S$8='Assessment Details'!$Q$23</xm:f>
            <x14:dxf>
              <font>
                <color theme="0"/>
              </font>
              <fill>
                <patternFill>
                  <bgColor theme="0"/>
                </patternFill>
              </fill>
              <border>
                <vertical/>
                <horizontal/>
              </border>
            </x14:dxf>
          </x14:cfRule>
          <xm:sqref>W66:W70</xm:sqref>
        </x14:conditionalFormatting>
        <x14:conditionalFormatting xmlns:xm="http://schemas.microsoft.com/office/excel/2006/main">
          <x14:cfRule type="expression" priority="764" id="{07FA1C11-BD85-4132-BD42-DA6D5718C888}">
            <xm:f>$S$8='Assessment Details'!$Q$23</xm:f>
            <x14:dxf>
              <border>
                <left style="thin">
                  <color theme="0"/>
                </left>
                <right style="thin">
                  <color theme="0"/>
                </right>
                <top style="thin">
                  <color theme="0"/>
                </top>
                <bottom style="thin">
                  <color theme="0"/>
                </bottom>
                <vertical/>
                <horizontal/>
              </border>
            </x14:dxf>
          </x14:cfRule>
          <xm:sqref>W66:W70</xm:sqref>
        </x14:conditionalFormatting>
        <x14:conditionalFormatting xmlns:xm="http://schemas.microsoft.com/office/excel/2006/main">
          <x14:cfRule type="expression" priority="797" id="{C3B53F49-D624-4668-A88D-CC265C4732FF}">
            <xm:f>$Z$8='Assessment Details'!$Q$23</xm:f>
            <x14:dxf>
              <font>
                <color theme="0"/>
              </font>
              <fill>
                <patternFill>
                  <bgColor theme="0"/>
                </patternFill>
              </fill>
            </x14:dxf>
          </x14:cfRule>
          <xm:sqref>U66:Z70</xm:sqref>
        </x14:conditionalFormatting>
        <x14:conditionalFormatting xmlns:xm="http://schemas.microsoft.com/office/excel/2006/main">
          <x14:cfRule type="expression" priority="798" id="{DB88EE05-05EF-43A8-9AA0-6A823E6BC540}">
            <xm:f>$Z$8='Assessment Details'!$Q$23</xm:f>
            <x14:dxf>
              <border>
                <left style="thin">
                  <color theme="0"/>
                </left>
                <right style="thin">
                  <color theme="0"/>
                </right>
                <top style="thin">
                  <color theme="0"/>
                </top>
                <bottom style="thin">
                  <color theme="0"/>
                </bottom>
                <vertical/>
                <horizontal/>
              </border>
            </x14:dxf>
          </x14:cfRule>
          <xm:sqref>U66:Z70</xm:sqref>
        </x14:conditionalFormatting>
        <x14:conditionalFormatting xmlns:xm="http://schemas.microsoft.com/office/excel/2006/main">
          <x14:cfRule type="expression" priority="748" id="{1BD591E1-08F2-4CEF-981B-4CB9B55473D0}">
            <xm:f>$S$8='Assessment Details'!$Q$23</xm:f>
            <x14:dxf>
              <font>
                <color theme="0"/>
              </font>
              <fill>
                <patternFill>
                  <bgColor theme="0"/>
                </patternFill>
              </fill>
              <border>
                <vertical/>
                <horizontal/>
              </border>
            </x14:dxf>
          </x14:cfRule>
          <xm:sqref>N95:S100</xm:sqref>
        </x14:conditionalFormatting>
        <x14:conditionalFormatting xmlns:xm="http://schemas.microsoft.com/office/excel/2006/main">
          <x14:cfRule type="expression" priority="747" id="{9F776836-5CD3-462B-9032-6508E16C50BC}">
            <xm:f>$S$8='Assessment Details'!$Q$23</xm:f>
            <x14:dxf>
              <border>
                <left style="thin">
                  <color theme="0"/>
                </left>
                <right style="thin">
                  <color theme="0"/>
                </right>
                <top style="thin">
                  <color theme="0"/>
                </top>
                <bottom style="thin">
                  <color theme="0"/>
                </bottom>
                <vertical/>
                <horizontal/>
              </border>
            </x14:dxf>
          </x14:cfRule>
          <xm:sqref>N95:S100</xm:sqref>
        </x14:conditionalFormatting>
        <x14:conditionalFormatting xmlns:xm="http://schemas.microsoft.com/office/excel/2006/main">
          <x14:cfRule type="expression" priority="746" id="{E06107F4-0797-42C3-AF12-3E69A082790E}">
            <xm:f>$S$8='Assessment Details'!$Q$23</xm:f>
            <x14:dxf>
              <font>
                <color theme="0"/>
              </font>
              <fill>
                <patternFill>
                  <bgColor theme="0"/>
                </patternFill>
              </fill>
              <border>
                <vertical/>
                <horizontal/>
              </border>
            </x14:dxf>
          </x14:cfRule>
          <xm:sqref>G95:G100</xm:sqref>
        </x14:conditionalFormatting>
        <x14:conditionalFormatting xmlns:xm="http://schemas.microsoft.com/office/excel/2006/main">
          <x14:cfRule type="expression" priority="745" id="{00C83373-3E86-4A05-A623-37C5B664E25B}">
            <xm:f>$S$8='Assessment Details'!$Q$23</xm:f>
            <x14:dxf>
              <border>
                <left style="thin">
                  <color theme="0"/>
                </left>
                <right style="thin">
                  <color theme="0"/>
                </right>
                <top style="thin">
                  <color theme="0"/>
                </top>
                <bottom style="thin">
                  <color theme="0"/>
                </bottom>
                <vertical/>
                <horizontal/>
              </border>
            </x14:dxf>
          </x14:cfRule>
          <xm:sqref>G95:G100</xm:sqref>
        </x14:conditionalFormatting>
        <x14:conditionalFormatting xmlns:xm="http://schemas.microsoft.com/office/excel/2006/main">
          <x14:cfRule type="expression" priority="744" id="{5961EE5E-4BD1-4B3C-9C32-851077EA884D}">
            <xm:f>$S$8='Assessment Details'!$Q$23</xm:f>
            <x14:dxf>
              <font>
                <color theme="0"/>
              </font>
              <fill>
                <patternFill>
                  <bgColor theme="0"/>
                </patternFill>
              </fill>
              <border>
                <vertical/>
                <horizontal/>
              </border>
            </x14:dxf>
          </x14:cfRule>
          <xm:sqref>U95:U100</xm:sqref>
        </x14:conditionalFormatting>
        <x14:conditionalFormatting xmlns:xm="http://schemas.microsoft.com/office/excel/2006/main">
          <x14:cfRule type="expression" priority="743" id="{333D927D-615B-45D6-87AC-469DC68A1A11}">
            <xm:f>$S$8='Assessment Details'!$Q$23</xm:f>
            <x14:dxf>
              <border>
                <left style="thin">
                  <color theme="0"/>
                </left>
                <right style="thin">
                  <color theme="0"/>
                </right>
                <top style="thin">
                  <color theme="0"/>
                </top>
                <bottom style="thin">
                  <color theme="0"/>
                </bottom>
                <vertical/>
                <horizontal/>
              </border>
            </x14:dxf>
          </x14:cfRule>
          <xm:sqref>U95:U100</xm:sqref>
        </x14:conditionalFormatting>
        <x14:conditionalFormatting xmlns:xm="http://schemas.microsoft.com/office/excel/2006/main">
          <x14:cfRule type="expression" priority="738" id="{E6B6E013-951B-4DFA-97E6-BCEE0A6E2E5A}">
            <xm:f>$S$8='Assessment Details'!$Q$23</xm:f>
            <x14:dxf>
              <font>
                <color theme="0"/>
              </font>
              <fill>
                <patternFill>
                  <bgColor theme="0"/>
                </patternFill>
              </fill>
              <border>
                <vertical/>
                <horizontal/>
              </border>
            </x14:dxf>
          </x14:cfRule>
          <xm:sqref>N95:N100</xm:sqref>
        </x14:conditionalFormatting>
        <x14:conditionalFormatting xmlns:xm="http://schemas.microsoft.com/office/excel/2006/main">
          <x14:cfRule type="expression" priority="737" id="{DB63DD7B-A191-4D5E-A766-8ED092A8AD25}">
            <xm:f>$S$8='Assessment Details'!$Q$23</xm:f>
            <x14:dxf>
              <border>
                <left style="thin">
                  <color theme="0"/>
                </left>
                <right style="thin">
                  <color theme="0"/>
                </right>
                <top style="thin">
                  <color theme="0"/>
                </top>
                <bottom style="thin">
                  <color theme="0"/>
                </bottom>
                <vertical/>
                <horizontal/>
              </border>
            </x14:dxf>
          </x14:cfRule>
          <xm:sqref>N95:N100</xm:sqref>
        </x14:conditionalFormatting>
        <x14:conditionalFormatting xmlns:xm="http://schemas.microsoft.com/office/excel/2006/main">
          <x14:cfRule type="expression" priority="732" id="{F7F980A3-F13E-48B5-8235-DF2D2320CBA3}">
            <xm:f>$S$8='Assessment Details'!$Q$23</xm:f>
            <x14:dxf>
              <font>
                <color theme="0"/>
              </font>
              <fill>
                <patternFill>
                  <bgColor theme="0"/>
                </patternFill>
              </fill>
              <border>
                <vertical/>
                <horizontal/>
              </border>
            </x14:dxf>
          </x14:cfRule>
          <xm:sqref>U95:U100</xm:sqref>
        </x14:conditionalFormatting>
        <x14:conditionalFormatting xmlns:xm="http://schemas.microsoft.com/office/excel/2006/main">
          <x14:cfRule type="expression" priority="731" id="{EDE00C90-27FD-4C1B-8983-B51F2271A337}">
            <xm:f>$S$8='Assessment Details'!$Q$23</xm:f>
            <x14:dxf>
              <border>
                <left style="thin">
                  <color theme="0"/>
                </left>
                <right style="thin">
                  <color theme="0"/>
                </right>
                <top style="thin">
                  <color theme="0"/>
                </top>
                <bottom style="thin">
                  <color theme="0"/>
                </bottom>
                <vertical/>
                <horizontal/>
              </border>
            </x14:dxf>
          </x14:cfRule>
          <xm:sqref>U95:U100</xm:sqref>
        </x14:conditionalFormatting>
        <x14:conditionalFormatting xmlns:xm="http://schemas.microsoft.com/office/excel/2006/main">
          <x14:cfRule type="expression" priority="730" id="{45013F25-A8CD-4875-A8F3-EDB96D31D8DB}">
            <xm:f>$S$8='Assessment Details'!$Q$23</xm:f>
            <x14:dxf>
              <font>
                <color theme="0"/>
              </font>
              <fill>
                <patternFill>
                  <bgColor theme="0"/>
                </patternFill>
              </fill>
              <border>
                <vertical/>
                <horizontal/>
              </border>
            </x14:dxf>
          </x14:cfRule>
          <xm:sqref>W95:W100</xm:sqref>
        </x14:conditionalFormatting>
        <x14:conditionalFormatting xmlns:xm="http://schemas.microsoft.com/office/excel/2006/main">
          <x14:cfRule type="expression" priority="729" id="{38486A5C-B729-4422-8536-52FE6D7F340B}">
            <xm:f>$S$8='Assessment Details'!$Q$23</xm:f>
            <x14:dxf>
              <border>
                <left style="thin">
                  <color theme="0"/>
                </left>
                <right style="thin">
                  <color theme="0"/>
                </right>
                <top style="thin">
                  <color theme="0"/>
                </top>
                <bottom style="thin">
                  <color theme="0"/>
                </bottom>
                <vertical/>
                <horizontal/>
              </border>
            </x14:dxf>
          </x14:cfRule>
          <xm:sqref>W95:W100</xm:sqref>
        </x14:conditionalFormatting>
        <x14:conditionalFormatting xmlns:xm="http://schemas.microsoft.com/office/excel/2006/main">
          <x14:cfRule type="expression" priority="762" id="{523FC504-EDF4-4B28-90CA-F81484708F8D}">
            <xm:f>$Z$8='Assessment Details'!$Q$23</xm:f>
            <x14:dxf>
              <font>
                <color theme="0"/>
              </font>
              <fill>
                <patternFill>
                  <bgColor theme="0"/>
                </patternFill>
              </fill>
            </x14:dxf>
          </x14:cfRule>
          <xm:sqref>U95:Z100</xm:sqref>
        </x14:conditionalFormatting>
        <x14:conditionalFormatting xmlns:xm="http://schemas.microsoft.com/office/excel/2006/main">
          <x14:cfRule type="expression" priority="763" id="{95A0CC1A-0E54-40AC-818C-C97BF29A60BC}">
            <xm:f>$Z$8='Assessment Details'!$Q$23</xm:f>
            <x14:dxf>
              <border>
                <left style="thin">
                  <color theme="0"/>
                </left>
                <right style="thin">
                  <color theme="0"/>
                </right>
                <top style="thin">
                  <color theme="0"/>
                </top>
                <bottom style="thin">
                  <color theme="0"/>
                </bottom>
                <vertical/>
                <horizontal/>
              </border>
            </x14:dxf>
          </x14:cfRule>
          <xm:sqref>U95:Z100</xm:sqref>
        </x14:conditionalFormatting>
        <x14:conditionalFormatting xmlns:xm="http://schemas.microsoft.com/office/excel/2006/main">
          <x14:cfRule type="expression" priority="713" id="{7DE336E1-E5D4-401E-B8D4-7A63000DEAC3}">
            <xm:f>$S$8='Assessment Details'!$Q$23</xm:f>
            <x14:dxf>
              <font>
                <color theme="0"/>
              </font>
              <fill>
                <patternFill>
                  <bgColor theme="0"/>
                </patternFill>
              </fill>
              <border>
                <vertical/>
                <horizontal/>
              </border>
            </x14:dxf>
          </x14:cfRule>
          <xm:sqref>N104:S114</xm:sqref>
        </x14:conditionalFormatting>
        <x14:conditionalFormatting xmlns:xm="http://schemas.microsoft.com/office/excel/2006/main">
          <x14:cfRule type="expression" priority="712" id="{49DA29B4-1630-47B1-A291-04E2B0538837}">
            <xm:f>$S$8='Assessment Details'!$Q$23</xm:f>
            <x14:dxf>
              <border>
                <left style="thin">
                  <color theme="0"/>
                </left>
                <right style="thin">
                  <color theme="0"/>
                </right>
                <top style="thin">
                  <color theme="0"/>
                </top>
                <bottom style="thin">
                  <color theme="0"/>
                </bottom>
                <vertical/>
                <horizontal/>
              </border>
            </x14:dxf>
          </x14:cfRule>
          <xm:sqref>N104:S114</xm:sqref>
        </x14:conditionalFormatting>
        <x14:conditionalFormatting xmlns:xm="http://schemas.microsoft.com/office/excel/2006/main">
          <x14:cfRule type="expression" priority="711" id="{BA618F41-E642-4287-8CC1-4B1B638FEB3B}">
            <xm:f>$S$8='Assessment Details'!$Q$23</xm:f>
            <x14:dxf>
              <font>
                <color theme="0"/>
              </font>
              <fill>
                <patternFill>
                  <bgColor theme="0"/>
                </patternFill>
              </fill>
              <border>
                <vertical/>
                <horizontal/>
              </border>
            </x14:dxf>
          </x14:cfRule>
          <xm:sqref>G104:G114</xm:sqref>
        </x14:conditionalFormatting>
        <x14:conditionalFormatting xmlns:xm="http://schemas.microsoft.com/office/excel/2006/main">
          <x14:cfRule type="expression" priority="710" id="{DF510D98-611C-4B4E-AD84-C8B3C1C3E16A}">
            <xm:f>$S$8='Assessment Details'!$Q$23</xm:f>
            <x14:dxf>
              <border>
                <left style="thin">
                  <color theme="0"/>
                </left>
                <right style="thin">
                  <color theme="0"/>
                </right>
                <top style="thin">
                  <color theme="0"/>
                </top>
                <bottom style="thin">
                  <color theme="0"/>
                </bottom>
                <vertical/>
                <horizontal/>
              </border>
            </x14:dxf>
          </x14:cfRule>
          <xm:sqref>G104:G114</xm:sqref>
        </x14:conditionalFormatting>
        <x14:conditionalFormatting xmlns:xm="http://schemas.microsoft.com/office/excel/2006/main">
          <x14:cfRule type="expression" priority="709" id="{756983B4-32DB-4712-9E4A-B0195C7F9967}">
            <xm:f>$S$8='Assessment Details'!$Q$23</xm:f>
            <x14:dxf>
              <font>
                <color theme="0"/>
              </font>
              <fill>
                <patternFill>
                  <bgColor theme="0"/>
                </patternFill>
              </fill>
              <border>
                <vertical/>
                <horizontal/>
              </border>
            </x14:dxf>
          </x14:cfRule>
          <xm:sqref>U104:U114</xm:sqref>
        </x14:conditionalFormatting>
        <x14:conditionalFormatting xmlns:xm="http://schemas.microsoft.com/office/excel/2006/main">
          <x14:cfRule type="expression" priority="708" id="{067A6CDD-7B63-4779-B8F0-E078EAC87BBB}">
            <xm:f>$S$8='Assessment Details'!$Q$23</xm:f>
            <x14:dxf>
              <border>
                <left style="thin">
                  <color theme="0"/>
                </left>
                <right style="thin">
                  <color theme="0"/>
                </right>
                <top style="thin">
                  <color theme="0"/>
                </top>
                <bottom style="thin">
                  <color theme="0"/>
                </bottom>
                <vertical/>
                <horizontal/>
              </border>
            </x14:dxf>
          </x14:cfRule>
          <xm:sqref>U104:U114</xm:sqref>
        </x14:conditionalFormatting>
        <x14:conditionalFormatting xmlns:xm="http://schemas.microsoft.com/office/excel/2006/main">
          <x14:cfRule type="expression" priority="703" id="{96519392-41EB-42E7-94C2-5B2168E527EE}">
            <xm:f>$S$8='Assessment Details'!$Q$23</xm:f>
            <x14:dxf>
              <font>
                <color theme="0"/>
              </font>
              <fill>
                <patternFill>
                  <bgColor theme="0"/>
                </patternFill>
              </fill>
              <border>
                <vertical/>
                <horizontal/>
              </border>
            </x14:dxf>
          </x14:cfRule>
          <xm:sqref>N104:N114</xm:sqref>
        </x14:conditionalFormatting>
        <x14:conditionalFormatting xmlns:xm="http://schemas.microsoft.com/office/excel/2006/main">
          <x14:cfRule type="expression" priority="702" id="{750009DF-3B7E-4232-9FC0-8318C8C849AC}">
            <xm:f>$S$8='Assessment Details'!$Q$23</xm:f>
            <x14:dxf>
              <border>
                <left style="thin">
                  <color theme="0"/>
                </left>
                <right style="thin">
                  <color theme="0"/>
                </right>
                <top style="thin">
                  <color theme="0"/>
                </top>
                <bottom style="thin">
                  <color theme="0"/>
                </bottom>
                <vertical/>
                <horizontal/>
              </border>
            </x14:dxf>
          </x14:cfRule>
          <xm:sqref>N104:N114</xm:sqref>
        </x14:conditionalFormatting>
        <x14:conditionalFormatting xmlns:xm="http://schemas.microsoft.com/office/excel/2006/main">
          <x14:cfRule type="expression" priority="697" id="{7E831641-C107-4F72-8604-4E0AEFAA2B69}">
            <xm:f>$S$8='Assessment Details'!$Q$23</xm:f>
            <x14:dxf>
              <font>
                <color theme="0"/>
              </font>
              <fill>
                <patternFill>
                  <bgColor theme="0"/>
                </patternFill>
              </fill>
              <border>
                <vertical/>
                <horizontal/>
              </border>
            </x14:dxf>
          </x14:cfRule>
          <xm:sqref>U104:U114</xm:sqref>
        </x14:conditionalFormatting>
        <x14:conditionalFormatting xmlns:xm="http://schemas.microsoft.com/office/excel/2006/main">
          <x14:cfRule type="expression" priority="696" id="{E32F43E0-B962-4DF3-A9EC-3935053A07E3}">
            <xm:f>$S$8='Assessment Details'!$Q$23</xm:f>
            <x14:dxf>
              <border>
                <left style="thin">
                  <color theme="0"/>
                </left>
                <right style="thin">
                  <color theme="0"/>
                </right>
                <top style="thin">
                  <color theme="0"/>
                </top>
                <bottom style="thin">
                  <color theme="0"/>
                </bottom>
                <vertical/>
                <horizontal/>
              </border>
            </x14:dxf>
          </x14:cfRule>
          <xm:sqref>U104:U114</xm:sqref>
        </x14:conditionalFormatting>
        <x14:conditionalFormatting xmlns:xm="http://schemas.microsoft.com/office/excel/2006/main">
          <x14:cfRule type="expression" priority="695" id="{0BB5ED4B-026F-4928-A4EE-B96D789885DA}">
            <xm:f>$S$8='Assessment Details'!$Q$23</xm:f>
            <x14:dxf>
              <font>
                <color theme="0"/>
              </font>
              <fill>
                <patternFill>
                  <bgColor theme="0"/>
                </patternFill>
              </fill>
              <border>
                <vertical/>
                <horizontal/>
              </border>
            </x14:dxf>
          </x14:cfRule>
          <xm:sqref>W104:W114</xm:sqref>
        </x14:conditionalFormatting>
        <x14:conditionalFormatting xmlns:xm="http://schemas.microsoft.com/office/excel/2006/main">
          <x14:cfRule type="expression" priority="694" id="{BC45D543-FEDC-456A-AE61-F84314511591}">
            <xm:f>$S$8='Assessment Details'!$Q$23</xm:f>
            <x14:dxf>
              <border>
                <left style="thin">
                  <color theme="0"/>
                </left>
                <right style="thin">
                  <color theme="0"/>
                </right>
                <top style="thin">
                  <color theme="0"/>
                </top>
                <bottom style="thin">
                  <color theme="0"/>
                </bottom>
                <vertical/>
                <horizontal/>
              </border>
            </x14:dxf>
          </x14:cfRule>
          <xm:sqref>W104:W114</xm:sqref>
        </x14:conditionalFormatting>
        <x14:conditionalFormatting xmlns:xm="http://schemas.microsoft.com/office/excel/2006/main">
          <x14:cfRule type="expression" priority="727" id="{B1599C0C-1824-4B77-A646-BB9489929227}">
            <xm:f>$Z$8='Assessment Details'!$Q$23</xm:f>
            <x14:dxf>
              <font>
                <color theme="0"/>
              </font>
              <fill>
                <patternFill>
                  <bgColor theme="0"/>
                </patternFill>
              </fill>
            </x14:dxf>
          </x14:cfRule>
          <xm:sqref>U104:Z114</xm:sqref>
        </x14:conditionalFormatting>
        <x14:conditionalFormatting xmlns:xm="http://schemas.microsoft.com/office/excel/2006/main">
          <x14:cfRule type="expression" priority="728" id="{7C24B3D7-69A8-472F-9AC4-971295E49E8C}">
            <xm:f>$Z$8='Assessment Details'!$Q$23</xm:f>
            <x14:dxf>
              <border>
                <left style="thin">
                  <color theme="0"/>
                </left>
                <right style="thin">
                  <color theme="0"/>
                </right>
                <top style="thin">
                  <color theme="0"/>
                </top>
                <bottom style="thin">
                  <color theme="0"/>
                </bottom>
                <vertical/>
                <horizontal/>
              </border>
            </x14:dxf>
          </x14:cfRule>
          <xm:sqref>U104:Z114</xm:sqref>
        </x14:conditionalFormatting>
        <x14:conditionalFormatting xmlns:xm="http://schemas.microsoft.com/office/excel/2006/main">
          <x14:cfRule type="expression" priority="678" id="{F63492DD-25C4-472D-9AFC-29D0F2FFCA4E}">
            <xm:f>$S$8='Assessment Details'!$Q$23</xm:f>
            <x14:dxf>
              <font>
                <color theme="0"/>
              </font>
              <fill>
                <patternFill>
                  <bgColor theme="0"/>
                </patternFill>
              </fill>
              <border>
                <vertical/>
                <horizontal/>
              </border>
            </x14:dxf>
          </x14:cfRule>
          <xm:sqref>N118:S144</xm:sqref>
        </x14:conditionalFormatting>
        <x14:conditionalFormatting xmlns:xm="http://schemas.microsoft.com/office/excel/2006/main">
          <x14:cfRule type="expression" priority="677" id="{F8AC1FE8-B5C4-4AF3-AA72-D2DCF4E1FFC1}">
            <xm:f>$S$8='Assessment Details'!$Q$23</xm:f>
            <x14:dxf>
              <border>
                <left style="thin">
                  <color theme="0"/>
                </left>
                <right style="thin">
                  <color theme="0"/>
                </right>
                <top style="thin">
                  <color theme="0"/>
                </top>
                <bottom style="thin">
                  <color theme="0"/>
                </bottom>
                <vertical/>
                <horizontal/>
              </border>
            </x14:dxf>
          </x14:cfRule>
          <xm:sqref>N118:S144</xm:sqref>
        </x14:conditionalFormatting>
        <x14:conditionalFormatting xmlns:xm="http://schemas.microsoft.com/office/excel/2006/main">
          <x14:cfRule type="expression" priority="676" id="{E38FC8F5-B00E-45A0-92B9-74494A8AC0D9}">
            <xm:f>$S$8='Assessment Details'!$Q$23</xm:f>
            <x14:dxf>
              <font>
                <color theme="0"/>
              </font>
              <fill>
                <patternFill>
                  <bgColor theme="0"/>
                </patternFill>
              </fill>
              <border>
                <vertical/>
                <horizontal/>
              </border>
            </x14:dxf>
          </x14:cfRule>
          <xm:sqref>G118:G144</xm:sqref>
        </x14:conditionalFormatting>
        <x14:conditionalFormatting xmlns:xm="http://schemas.microsoft.com/office/excel/2006/main">
          <x14:cfRule type="expression" priority="675" id="{E74AB5C6-EC80-494B-BA5B-D2200366EB60}">
            <xm:f>$S$8='Assessment Details'!$Q$23</xm:f>
            <x14:dxf>
              <border>
                <left style="thin">
                  <color theme="0"/>
                </left>
                <right style="thin">
                  <color theme="0"/>
                </right>
                <top style="thin">
                  <color theme="0"/>
                </top>
                <bottom style="thin">
                  <color theme="0"/>
                </bottom>
                <vertical/>
                <horizontal/>
              </border>
            </x14:dxf>
          </x14:cfRule>
          <xm:sqref>G118:G144</xm:sqref>
        </x14:conditionalFormatting>
        <x14:conditionalFormatting xmlns:xm="http://schemas.microsoft.com/office/excel/2006/main">
          <x14:cfRule type="expression" priority="674" id="{673DFAA5-2055-44C4-887D-2C35F93E8E42}">
            <xm:f>$S$8='Assessment Details'!$Q$23</xm:f>
            <x14:dxf>
              <font>
                <color theme="0"/>
              </font>
              <fill>
                <patternFill>
                  <bgColor theme="0"/>
                </patternFill>
              </fill>
              <border>
                <vertical/>
                <horizontal/>
              </border>
            </x14:dxf>
          </x14:cfRule>
          <xm:sqref>U118:U144</xm:sqref>
        </x14:conditionalFormatting>
        <x14:conditionalFormatting xmlns:xm="http://schemas.microsoft.com/office/excel/2006/main">
          <x14:cfRule type="expression" priority="673" id="{2FB72A45-195A-4D9B-B6A6-6A65A8CBEFBF}">
            <xm:f>$S$8='Assessment Details'!$Q$23</xm:f>
            <x14:dxf>
              <border>
                <left style="thin">
                  <color theme="0"/>
                </left>
                <right style="thin">
                  <color theme="0"/>
                </right>
                <top style="thin">
                  <color theme="0"/>
                </top>
                <bottom style="thin">
                  <color theme="0"/>
                </bottom>
                <vertical/>
                <horizontal/>
              </border>
            </x14:dxf>
          </x14:cfRule>
          <xm:sqref>U118:U144</xm:sqref>
        </x14:conditionalFormatting>
        <x14:conditionalFormatting xmlns:xm="http://schemas.microsoft.com/office/excel/2006/main">
          <x14:cfRule type="expression" priority="668" id="{F4CB3BC1-BF42-4E13-88F7-6746AE0C85AB}">
            <xm:f>$S$8='Assessment Details'!$Q$23</xm:f>
            <x14:dxf>
              <font>
                <color theme="0"/>
              </font>
              <fill>
                <patternFill>
                  <bgColor theme="0"/>
                </patternFill>
              </fill>
              <border>
                <vertical/>
                <horizontal/>
              </border>
            </x14:dxf>
          </x14:cfRule>
          <xm:sqref>N118:N144</xm:sqref>
        </x14:conditionalFormatting>
        <x14:conditionalFormatting xmlns:xm="http://schemas.microsoft.com/office/excel/2006/main">
          <x14:cfRule type="expression" priority="667" id="{F6844507-E947-4893-B9ED-E004BF7954D4}">
            <xm:f>$S$8='Assessment Details'!$Q$23</xm:f>
            <x14:dxf>
              <border>
                <left style="thin">
                  <color theme="0"/>
                </left>
                <right style="thin">
                  <color theme="0"/>
                </right>
                <top style="thin">
                  <color theme="0"/>
                </top>
                <bottom style="thin">
                  <color theme="0"/>
                </bottom>
                <vertical/>
                <horizontal/>
              </border>
            </x14:dxf>
          </x14:cfRule>
          <xm:sqref>N118:N144</xm:sqref>
        </x14:conditionalFormatting>
        <x14:conditionalFormatting xmlns:xm="http://schemas.microsoft.com/office/excel/2006/main">
          <x14:cfRule type="expression" priority="662" id="{F302A555-2F25-42D5-8AAA-616DCC026794}">
            <xm:f>$S$8='Assessment Details'!$Q$23</xm:f>
            <x14:dxf>
              <font>
                <color theme="0"/>
              </font>
              <fill>
                <patternFill>
                  <bgColor theme="0"/>
                </patternFill>
              </fill>
              <border>
                <vertical/>
                <horizontal/>
              </border>
            </x14:dxf>
          </x14:cfRule>
          <xm:sqref>U118:U144</xm:sqref>
        </x14:conditionalFormatting>
        <x14:conditionalFormatting xmlns:xm="http://schemas.microsoft.com/office/excel/2006/main">
          <x14:cfRule type="expression" priority="661" id="{AD450B60-6008-4136-BDB5-B79109E9289D}">
            <xm:f>$S$8='Assessment Details'!$Q$23</xm:f>
            <x14:dxf>
              <border>
                <left style="thin">
                  <color theme="0"/>
                </left>
                <right style="thin">
                  <color theme="0"/>
                </right>
                <top style="thin">
                  <color theme="0"/>
                </top>
                <bottom style="thin">
                  <color theme="0"/>
                </bottom>
                <vertical/>
                <horizontal/>
              </border>
            </x14:dxf>
          </x14:cfRule>
          <xm:sqref>U118:U144</xm:sqref>
        </x14:conditionalFormatting>
        <x14:conditionalFormatting xmlns:xm="http://schemas.microsoft.com/office/excel/2006/main">
          <x14:cfRule type="expression" priority="660" id="{DE80F036-12CD-4EF6-ABDA-A72B56533A28}">
            <xm:f>$S$8='Assessment Details'!$Q$23</xm:f>
            <x14:dxf>
              <font>
                <color theme="0"/>
              </font>
              <fill>
                <patternFill>
                  <bgColor theme="0"/>
                </patternFill>
              </fill>
              <border>
                <vertical/>
                <horizontal/>
              </border>
            </x14:dxf>
          </x14:cfRule>
          <xm:sqref>W118:W144</xm:sqref>
        </x14:conditionalFormatting>
        <x14:conditionalFormatting xmlns:xm="http://schemas.microsoft.com/office/excel/2006/main">
          <x14:cfRule type="expression" priority="659" id="{ED2AA8D5-C35E-4825-A8B3-98F9B47AE8A5}">
            <xm:f>$S$8='Assessment Details'!$Q$23</xm:f>
            <x14:dxf>
              <border>
                <left style="thin">
                  <color theme="0"/>
                </left>
                <right style="thin">
                  <color theme="0"/>
                </right>
                <top style="thin">
                  <color theme="0"/>
                </top>
                <bottom style="thin">
                  <color theme="0"/>
                </bottom>
                <vertical/>
                <horizontal/>
              </border>
            </x14:dxf>
          </x14:cfRule>
          <xm:sqref>W118:W144</xm:sqref>
        </x14:conditionalFormatting>
        <x14:conditionalFormatting xmlns:xm="http://schemas.microsoft.com/office/excel/2006/main">
          <x14:cfRule type="expression" priority="692" id="{8F9F20A1-7D00-404C-BE1C-DEE2255F6C84}">
            <xm:f>$Z$8='Assessment Details'!$Q$23</xm:f>
            <x14:dxf>
              <font>
                <color theme="0"/>
              </font>
              <fill>
                <patternFill>
                  <bgColor theme="0"/>
                </patternFill>
              </fill>
            </x14:dxf>
          </x14:cfRule>
          <xm:sqref>U118:Z144</xm:sqref>
        </x14:conditionalFormatting>
        <x14:conditionalFormatting xmlns:xm="http://schemas.microsoft.com/office/excel/2006/main">
          <x14:cfRule type="expression" priority="693" id="{010FD9E7-F2B6-4B14-9887-5AFA260D8F08}">
            <xm:f>$Z$8='Assessment Details'!$Q$23</xm:f>
            <x14:dxf>
              <border>
                <left style="thin">
                  <color theme="0"/>
                </left>
                <right style="thin">
                  <color theme="0"/>
                </right>
                <top style="thin">
                  <color theme="0"/>
                </top>
                <bottom style="thin">
                  <color theme="0"/>
                </bottom>
                <vertical/>
                <horizontal/>
              </border>
            </x14:dxf>
          </x14:cfRule>
          <xm:sqref>U118:Z144</xm:sqref>
        </x14:conditionalFormatting>
        <x14:conditionalFormatting xmlns:xm="http://schemas.microsoft.com/office/excel/2006/main">
          <x14:cfRule type="expression" priority="643" id="{FDD67AFC-223C-407C-B2FF-9A6AB2820552}">
            <xm:f>$S$8='Assessment Details'!$Q$23</xm:f>
            <x14:dxf>
              <font>
                <color theme="0"/>
              </font>
              <fill>
                <patternFill>
                  <bgColor theme="0"/>
                </patternFill>
              </fill>
              <border>
                <vertical/>
                <horizontal/>
              </border>
            </x14:dxf>
          </x14:cfRule>
          <xm:sqref>N148:S159</xm:sqref>
        </x14:conditionalFormatting>
        <x14:conditionalFormatting xmlns:xm="http://schemas.microsoft.com/office/excel/2006/main">
          <x14:cfRule type="expression" priority="642" id="{7D03C898-9C07-489D-957D-E4B2FB7B043C}">
            <xm:f>$S$8='Assessment Details'!$Q$23</xm:f>
            <x14:dxf>
              <border>
                <left style="thin">
                  <color theme="0"/>
                </left>
                <right style="thin">
                  <color theme="0"/>
                </right>
                <top style="thin">
                  <color theme="0"/>
                </top>
                <bottom style="thin">
                  <color theme="0"/>
                </bottom>
                <vertical/>
                <horizontal/>
              </border>
            </x14:dxf>
          </x14:cfRule>
          <xm:sqref>N148:S159</xm:sqref>
        </x14:conditionalFormatting>
        <x14:conditionalFormatting xmlns:xm="http://schemas.microsoft.com/office/excel/2006/main">
          <x14:cfRule type="expression" priority="641" id="{51B2421E-E8B3-4AB2-B386-77ECA66D1F6B}">
            <xm:f>$S$8='Assessment Details'!$Q$23</xm:f>
            <x14:dxf>
              <font>
                <color theme="0"/>
              </font>
              <fill>
                <patternFill>
                  <bgColor theme="0"/>
                </patternFill>
              </fill>
              <border>
                <vertical/>
                <horizontal/>
              </border>
            </x14:dxf>
          </x14:cfRule>
          <xm:sqref>G148:G159</xm:sqref>
        </x14:conditionalFormatting>
        <x14:conditionalFormatting xmlns:xm="http://schemas.microsoft.com/office/excel/2006/main">
          <x14:cfRule type="expression" priority="640" id="{C1457F96-481E-4D7C-89F2-3AF16BD4EA56}">
            <xm:f>$S$8='Assessment Details'!$Q$23</xm:f>
            <x14:dxf>
              <border>
                <left style="thin">
                  <color theme="0"/>
                </left>
                <right style="thin">
                  <color theme="0"/>
                </right>
                <top style="thin">
                  <color theme="0"/>
                </top>
                <bottom style="thin">
                  <color theme="0"/>
                </bottom>
                <vertical/>
                <horizontal/>
              </border>
            </x14:dxf>
          </x14:cfRule>
          <xm:sqref>G148:G159</xm:sqref>
        </x14:conditionalFormatting>
        <x14:conditionalFormatting xmlns:xm="http://schemas.microsoft.com/office/excel/2006/main">
          <x14:cfRule type="expression" priority="639" id="{049D0A9C-46E9-426F-B254-D588DDA9507D}">
            <xm:f>$S$8='Assessment Details'!$Q$23</xm:f>
            <x14:dxf>
              <font>
                <color theme="0"/>
              </font>
              <fill>
                <patternFill>
                  <bgColor theme="0"/>
                </patternFill>
              </fill>
              <border>
                <vertical/>
                <horizontal/>
              </border>
            </x14:dxf>
          </x14:cfRule>
          <xm:sqref>U148:U159</xm:sqref>
        </x14:conditionalFormatting>
        <x14:conditionalFormatting xmlns:xm="http://schemas.microsoft.com/office/excel/2006/main">
          <x14:cfRule type="expression" priority="638" id="{85444FAC-1617-4551-8CD5-240D164907C6}">
            <xm:f>$S$8='Assessment Details'!$Q$23</xm:f>
            <x14:dxf>
              <border>
                <left style="thin">
                  <color theme="0"/>
                </left>
                <right style="thin">
                  <color theme="0"/>
                </right>
                <top style="thin">
                  <color theme="0"/>
                </top>
                <bottom style="thin">
                  <color theme="0"/>
                </bottom>
                <vertical/>
                <horizontal/>
              </border>
            </x14:dxf>
          </x14:cfRule>
          <xm:sqref>U148:U159</xm:sqref>
        </x14:conditionalFormatting>
        <x14:conditionalFormatting xmlns:xm="http://schemas.microsoft.com/office/excel/2006/main">
          <x14:cfRule type="expression" priority="633" id="{EE91D37B-6967-49FC-8B21-F94042CA4016}">
            <xm:f>$S$8='Assessment Details'!$Q$23</xm:f>
            <x14:dxf>
              <font>
                <color theme="0"/>
              </font>
              <fill>
                <patternFill>
                  <bgColor theme="0"/>
                </patternFill>
              </fill>
              <border>
                <vertical/>
                <horizontal/>
              </border>
            </x14:dxf>
          </x14:cfRule>
          <xm:sqref>N148:N159</xm:sqref>
        </x14:conditionalFormatting>
        <x14:conditionalFormatting xmlns:xm="http://schemas.microsoft.com/office/excel/2006/main">
          <x14:cfRule type="expression" priority="632" id="{8621AEF3-0C3F-4972-80CC-714D754035A7}">
            <xm:f>$S$8='Assessment Details'!$Q$23</xm:f>
            <x14:dxf>
              <border>
                <left style="thin">
                  <color theme="0"/>
                </left>
                <right style="thin">
                  <color theme="0"/>
                </right>
                <top style="thin">
                  <color theme="0"/>
                </top>
                <bottom style="thin">
                  <color theme="0"/>
                </bottom>
                <vertical/>
                <horizontal/>
              </border>
            </x14:dxf>
          </x14:cfRule>
          <xm:sqref>N148:N159</xm:sqref>
        </x14:conditionalFormatting>
        <x14:conditionalFormatting xmlns:xm="http://schemas.microsoft.com/office/excel/2006/main">
          <x14:cfRule type="expression" priority="627" id="{57179EFB-88D6-432B-9A88-0120AAE43F3D}">
            <xm:f>$S$8='Assessment Details'!$Q$23</xm:f>
            <x14:dxf>
              <font>
                <color theme="0"/>
              </font>
              <fill>
                <patternFill>
                  <bgColor theme="0"/>
                </patternFill>
              </fill>
              <border>
                <vertical/>
                <horizontal/>
              </border>
            </x14:dxf>
          </x14:cfRule>
          <xm:sqref>U148:U159</xm:sqref>
        </x14:conditionalFormatting>
        <x14:conditionalFormatting xmlns:xm="http://schemas.microsoft.com/office/excel/2006/main">
          <x14:cfRule type="expression" priority="626" id="{582D4AC3-A38D-4C64-A0CE-58695167D3BF}">
            <xm:f>$S$8='Assessment Details'!$Q$23</xm:f>
            <x14:dxf>
              <border>
                <left style="thin">
                  <color theme="0"/>
                </left>
                <right style="thin">
                  <color theme="0"/>
                </right>
                <top style="thin">
                  <color theme="0"/>
                </top>
                <bottom style="thin">
                  <color theme="0"/>
                </bottom>
                <vertical/>
                <horizontal/>
              </border>
            </x14:dxf>
          </x14:cfRule>
          <xm:sqref>U148:U159</xm:sqref>
        </x14:conditionalFormatting>
        <x14:conditionalFormatting xmlns:xm="http://schemas.microsoft.com/office/excel/2006/main">
          <x14:cfRule type="expression" priority="625" id="{3B203074-BC8A-49D8-B297-3E5E60AE11C7}">
            <xm:f>$S$8='Assessment Details'!$Q$23</xm:f>
            <x14:dxf>
              <font>
                <color theme="0"/>
              </font>
              <fill>
                <patternFill>
                  <bgColor theme="0"/>
                </patternFill>
              </fill>
              <border>
                <vertical/>
                <horizontal/>
              </border>
            </x14:dxf>
          </x14:cfRule>
          <xm:sqref>W148:W159</xm:sqref>
        </x14:conditionalFormatting>
        <x14:conditionalFormatting xmlns:xm="http://schemas.microsoft.com/office/excel/2006/main">
          <x14:cfRule type="expression" priority="624" id="{48AC37E6-979F-4F26-95D4-F2D58AB05DE7}">
            <xm:f>$S$8='Assessment Details'!$Q$23</xm:f>
            <x14:dxf>
              <border>
                <left style="thin">
                  <color theme="0"/>
                </left>
                <right style="thin">
                  <color theme="0"/>
                </right>
                <top style="thin">
                  <color theme="0"/>
                </top>
                <bottom style="thin">
                  <color theme="0"/>
                </bottom>
                <vertical/>
                <horizontal/>
              </border>
            </x14:dxf>
          </x14:cfRule>
          <xm:sqref>W148:W159</xm:sqref>
        </x14:conditionalFormatting>
        <x14:conditionalFormatting xmlns:xm="http://schemas.microsoft.com/office/excel/2006/main">
          <x14:cfRule type="expression" priority="657" id="{89AC23ED-6015-47FA-BEAF-9A6AA375A18E}">
            <xm:f>$Z$8='Assessment Details'!$Q$23</xm:f>
            <x14:dxf>
              <font>
                <color theme="0"/>
              </font>
              <fill>
                <patternFill>
                  <bgColor theme="0"/>
                </patternFill>
              </fill>
            </x14:dxf>
          </x14:cfRule>
          <xm:sqref>U148:Z159</xm:sqref>
        </x14:conditionalFormatting>
        <x14:conditionalFormatting xmlns:xm="http://schemas.microsoft.com/office/excel/2006/main">
          <x14:cfRule type="expression" priority="658" id="{8E8536A4-6749-44D2-BCBD-7D39EE4A4881}">
            <xm:f>$Z$8='Assessment Details'!$Q$23</xm:f>
            <x14:dxf>
              <border>
                <left style="thin">
                  <color theme="0"/>
                </left>
                <right style="thin">
                  <color theme="0"/>
                </right>
                <top style="thin">
                  <color theme="0"/>
                </top>
                <bottom style="thin">
                  <color theme="0"/>
                </bottom>
                <vertical/>
                <horizontal/>
              </border>
            </x14:dxf>
          </x14:cfRule>
          <xm:sqref>U148:Z159</xm:sqref>
        </x14:conditionalFormatting>
        <x14:conditionalFormatting xmlns:xm="http://schemas.microsoft.com/office/excel/2006/main">
          <x14:cfRule type="expression" priority="608" id="{D4D19939-03E7-461D-8DC4-FE096D9DFFFD}">
            <xm:f>$S$8='Assessment Details'!$Q$23</xm:f>
            <x14:dxf>
              <font>
                <color theme="0"/>
              </font>
              <fill>
                <patternFill>
                  <bgColor theme="0"/>
                </patternFill>
              </fill>
              <border>
                <vertical/>
                <horizontal/>
              </border>
            </x14:dxf>
          </x14:cfRule>
          <xm:sqref>N163:S190</xm:sqref>
        </x14:conditionalFormatting>
        <x14:conditionalFormatting xmlns:xm="http://schemas.microsoft.com/office/excel/2006/main">
          <x14:cfRule type="expression" priority="607" id="{BE550D97-26B7-410F-A7F0-AF419623F590}">
            <xm:f>$S$8='Assessment Details'!$Q$23</xm:f>
            <x14:dxf>
              <border>
                <left style="thin">
                  <color theme="0"/>
                </left>
                <right style="thin">
                  <color theme="0"/>
                </right>
                <top style="thin">
                  <color theme="0"/>
                </top>
                <bottom style="thin">
                  <color theme="0"/>
                </bottom>
                <vertical/>
                <horizontal/>
              </border>
            </x14:dxf>
          </x14:cfRule>
          <xm:sqref>N163:S190</xm:sqref>
        </x14:conditionalFormatting>
        <x14:conditionalFormatting xmlns:xm="http://schemas.microsoft.com/office/excel/2006/main">
          <x14:cfRule type="expression" priority="606" id="{7A93FD74-DED4-49B4-9201-176F09C1FEF1}">
            <xm:f>$S$8='Assessment Details'!$Q$23</xm:f>
            <x14:dxf>
              <font>
                <color theme="0"/>
              </font>
              <fill>
                <patternFill>
                  <bgColor theme="0"/>
                </patternFill>
              </fill>
              <border>
                <vertical/>
                <horizontal/>
              </border>
            </x14:dxf>
          </x14:cfRule>
          <xm:sqref>G163:G190</xm:sqref>
        </x14:conditionalFormatting>
        <x14:conditionalFormatting xmlns:xm="http://schemas.microsoft.com/office/excel/2006/main">
          <x14:cfRule type="expression" priority="605" id="{3479F7C1-53ED-41C3-ABA1-64A7E57F64D9}">
            <xm:f>$S$8='Assessment Details'!$Q$23</xm:f>
            <x14:dxf>
              <border>
                <left style="thin">
                  <color theme="0"/>
                </left>
                <right style="thin">
                  <color theme="0"/>
                </right>
                <top style="thin">
                  <color theme="0"/>
                </top>
                <bottom style="thin">
                  <color theme="0"/>
                </bottom>
                <vertical/>
                <horizontal/>
              </border>
            </x14:dxf>
          </x14:cfRule>
          <xm:sqref>G163:G190</xm:sqref>
        </x14:conditionalFormatting>
        <x14:conditionalFormatting xmlns:xm="http://schemas.microsoft.com/office/excel/2006/main">
          <x14:cfRule type="expression" priority="604" id="{1836C5F5-8B8B-402F-9896-1534A68AEBD0}">
            <xm:f>$S$8='Assessment Details'!$Q$23</xm:f>
            <x14:dxf>
              <font>
                <color theme="0"/>
              </font>
              <fill>
                <patternFill>
                  <bgColor theme="0"/>
                </patternFill>
              </fill>
              <border>
                <vertical/>
                <horizontal/>
              </border>
            </x14:dxf>
          </x14:cfRule>
          <xm:sqref>U163:U190</xm:sqref>
        </x14:conditionalFormatting>
        <x14:conditionalFormatting xmlns:xm="http://schemas.microsoft.com/office/excel/2006/main">
          <x14:cfRule type="expression" priority="603" id="{BF1BF6B8-EE67-45EE-8151-CD83A657FDAA}">
            <xm:f>$S$8='Assessment Details'!$Q$23</xm:f>
            <x14:dxf>
              <border>
                <left style="thin">
                  <color theme="0"/>
                </left>
                <right style="thin">
                  <color theme="0"/>
                </right>
                <top style="thin">
                  <color theme="0"/>
                </top>
                <bottom style="thin">
                  <color theme="0"/>
                </bottom>
                <vertical/>
                <horizontal/>
              </border>
            </x14:dxf>
          </x14:cfRule>
          <xm:sqref>U163:U190</xm:sqref>
        </x14:conditionalFormatting>
        <x14:conditionalFormatting xmlns:xm="http://schemas.microsoft.com/office/excel/2006/main">
          <x14:cfRule type="expression" priority="598" id="{5A0129D5-F475-4E7B-9520-37E3A7D82FB5}">
            <xm:f>$S$8='Assessment Details'!$Q$23</xm:f>
            <x14:dxf>
              <font>
                <color theme="0"/>
              </font>
              <fill>
                <patternFill>
                  <bgColor theme="0"/>
                </patternFill>
              </fill>
              <border>
                <vertical/>
                <horizontal/>
              </border>
            </x14:dxf>
          </x14:cfRule>
          <xm:sqref>N163:N190</xm:sqref>
        </x14:conditionalFormatting>
        <x14:conditionalFormatting xmlns:xm="http://schemas.microsoft.com/office/excel/2006/main">
          <x14:cfRule type="expression" priority="597" id="{3EDFE930-693F-44DC-A566-8E16A1730788}">
            <xm:f>$S$8='Assessment Details'!$Q$23</xm:f>
            <x14:dxf>
              <border>
                <left style="thin">
                  <color theme="0"/>
                </left>
                <right style="thin">
                  <color theme="0"/>
                </right>
                <top style="thin">
                  <color theme="0"/>
                </top>
                <bottom style="thin">
                  <color theme="0"/>
                </bottom>
                <vertical/>
                <horizontal/>
              </border>
            </x14:dxf>
          </x14:cfRule>
          <xm:sqref>N163:N190</xm:sqref>
        </x14:conditionalFormatting>
        <x14:conditionalFormatting xmlns:xm="http://schemas.microsoft.com/office/excel/2006/main">
          <x14:cfRule type="expression" priority="592" id="{057F9949-7FFB-45CF-9FA0-E01BA035B3E1}">
            <xm:f>$S$8='Assessment Details'!$Q$23</xm:f>
            <x14:dxf>
              <font>
                <color theme="0"/>
              </font>
              <fill>
                <patternFill>
                  <bgColor theme="0"/>
                </patternFill>
              </fill>
              <border>
                <vertical/>
                <horizontal/>
              </border>
            </x14:dxf>
          </x14:cfRule>
          <xm:sqref>U163:U190</xm:sqref>
        </x14:conditionalFormatting>
        <x14:conditionalFormatting xmlns:xm="http://schemas.microsoft.com/office/excel/2006/main">
          <x14:cfRule type="expression" priority="591" id="{80517BA3-B24B-4CC8-BAF6-4329096F205D}">
            <xm:f>$S$8='Assessment Details'!$Q$23</xm:f>
            <x14:dxf>
              <border>
                <left style="thin">
                  <color theme="0"/>
                </left>
                <right style="thin">
                  <color theme="0"/>
                </right>
                <top style="thin">
                  <color theme="0"/>
                </top>
                <bottom style="thin">
                  <color theme="0"/>
                </bottom>
                <vertical/>
                <horizontal/>
              </border>
            </x14:dxf>
          </x14:cfRule>
          <xm:sqref>U163:U190</xm:sqref>
        </x14:conditionalFormatting>
        <x14:conditionalFormatting xmlns:xm="http://schemas.microsoft.com/office/excel/2006/main">
          <x14:cfRule type="expression" priority="590" id="{E0DE2EBF-C845-49F1-94AF-650660600766}">
            <xm:f>$S$8='Assessment Details'!$Q$23</xm:f>
            <x14:dxf>
              <font>
                <color theme="0"/>
              </font>
              <fill>
                <patternFill>
                  <bgColor theme="0"/>
                </patternFill>
              </fill>
              <border>
                <vertical/>
                <horizontal/>
              </border>
            </x14:dxf>
          </x14:cfRule>
          <xm:sqref>W163:W190</xm:sqref>
        </x14:conditionalFormatting>
        <x14:conditionalFormatting xmlns:xm="http://schemas.microsoft.com/office/excel/2006/main">
          <x14:cfRule type="expression" priority="589" id="{DAFECC4A-CD43-4625-8D29-C727AA37469A}">
            <xm:f>$S$8='Assessment Details'!$Q$23</xm:f>
            <x14:dxf>
              <border>
                <left style="thin">
                  <color theme="0"/>
                </left>
                <right style="thin">
                  <color theme="0"/>
                </right>
                <top style="thin">
                  <color theme="0"/>
                </top>
                <bottom style="thin">
                  <color theme="0"/>
                </bottom>
                <vertical/>
                <horizontal/>
              </border>
            </x14:dxf>
          </x14:cfRule>
          <xm:sqref>W163:W190</xm:sqref>
        </x14:conditionalFormatting>
        <x14:conditionalFormatting xmlns:xm="http://schemas.microsoft.com/office/excel/2006/main">
          <x14:cfRule type="expression" priority="622" id="{FEB2857A-BA6E-44AA-90FC-C961C6499428}">
            <xm:f>$Z$8='Assessment Details'!$Q$23</xm:f>
            <x14:dxf>
              <font>
                <color theme="0"/>
              </font>
              <fill>
                <patternFill>
                  <bgColor theme="0"/>
                </patternFill>
              </fill>
            </x14:dxf>
          </x14:cfRule>
          <xm:sqref>U163:Z190</xm:sqref>
        </x14:conditionalFormatting>
        <x14:conditionalFormatting xmlns:xm="http://schemas.microsoft.com/office/excel/2006/main">
          <x14:cfRule type="expression" priority="623" id="{99167A46-CA6A-47F7-A990-E00DE2E32EF5}">
            <xm:f>$Z$8='Assessment Details'!$Q$23</xm:f>
            <x14:dxf>
              <border>
                <left style="thin">
                  <color theme="0"/>
                </left>
                <right style="thin">
                  <color theme="0"/>
                </right>
                <top style="thin">
                  <color theme="0"/>
                </top>
                <bottom style="thin">
                  <color theme="0"/>
                </bottom>
                <vertical/>
                <horizontal/>
              </border>
            </x14:dxf>
          </x14:cfRule>
          <xm:sqref>U163:Z190</xm:sqref>
        </x14:conditionalFormatting>
        <x14:conditionalFormatting xmlns:xm="http://schemas.microsoft.com/office/excel/2006/main">
          <x14:cfRule type="expression" priority="573" id="{2D4D8628-D431-410C-93AE-F72D90B86CC9}">
            <xm:f>$S$8='Assessment Details'!$Q$23</xm:f>
            <x14:dxf>
              <font>
                <color theme="0"/>
              </font>
              <fill>
                <patternFill>
                  <bgColor theme="0"/>
                </patternFill>
              </fill>
              <border>
                <vertical/>
                <horizontal/>
              </border>
            </x14:dxf>
          </x14:cfRule>
          <xm:sqref>N194:S207</xm:sqref>
        </x14:conditionalFormatting>
        <x14:conditionalFormatting xmlns:xm="http://schemas.microsoft.com/office/excel/2006/main">
          <x14:cfRule type="expression" priority="572" id="{015B966D-565D-4D37-9E4E-D18C7D0FF4F2}">
            <xm:f>$S$8='Assessment Details'!$Q$23</xm:f>
            <x14:dxf>
              <border>
                <left style="thin">
                  <color theme="0"/>
                </left>
                <right style="thin">
                  <color theme="0"/>
                </right>
                <top style="thin">
                  <color theme="0"/>
                </top>
                <bottom style="thin">
                  <color theme="0"/>
                </bottom>
                <vertical/>
                <horizontal/>
              </border>
            </x14:dxf>
          </x14:cfRule>
          <xm:sqref>N194:S207</xm:sqref>
        </x14:conditionalFormatting>
        <x14:conditionalFormatting xmlns:xm="http://schemas.microsoft.com/office/excel/2006/main">
          <x14:cfRule type="expression" priority="571" id="{82B06A9D-B4C3-42DD-BA43-74A98B42E62E}">
            <xm:f>$S$8='Assessment Details'!$Q$23</xm:f>
            <x14:dxf>
              <font>
                <color theme="0"/>
              </font>
              <fill>
                <patternFill>
                  <bgColor theme="0"/>
                </patternFill>
              </fill>
              <border>
                <vertical/>
                <horizontal/>
              </border>
            </x14:dxf>
          </x14:cfRule>
          <xm:sqref>G194:G207</xm:sqref>
        </x14:conditionalFormatting>
        <x14:conditionalFormatting xmlns:xm="http://schemas.microsoft.com/office/excel/2006/main">
          <x14:cfRule type="expression" priority="570" id="{0A71DD26-7FAC-4690-9571-C689F0D42AF2}">
            <xm:f>$S$8='Assessment Details'!$Q$23</xm:f>
            <x14:dxf>
              <border>
                <left style="thin">
                  <color theme="0"/>
                </left>
                <right style="thin">
                  <color theme="0"/>
                </right>
                <top style="thin">
                  <color theme="0"/>
                </top>
                <bottom style="thin">
                  <color theme="0"/>
                </bottom>
                <vertical/>
                <horizontal/>
              </border>
            </x14:dxf>
          </x14:cfRule>
          <xm:sqref>G194:G207</xm:sqref>
        </x14:conditionalFormatting>
        <x14:conditionalFormatting xmlns:xm="http://schemas.microsoft.com/office/excel/2006/main">
          <x14:cfRule type="expression" priority="569" id="{05395A0B-8350-4986-B1BF-45C6CF92C754}">
            <xm:f>$S$8='Assessment Details'!$Q$23</xm:f>
            <x14:dxf>
              <font>
                <color theme="0"/>
              </font>
              <fill>
                <patternFill>
                  <bgColor theme="0"/>
                </patternFill>
              </fill>
              <border>
                <vertical/>
                <horizontal/>
              </border>
            </x14:dxf>
          </x14:cfRule>
          <xm:sqref>U194:U207</xm:sqref>
        </x14:conditionalFormatting>
        <x14:conditionalFormatting xmlns:xm="http://schemas.microsoft.com/office/excel/2006/main">
          <x14:cfRule type="expression" priority="568" id="{5A16073C-F037-4B4F-928B-F7AFC1A2B1B0}">
            <xm:f>$S$8='Assessment Details'!$Q$23</xm:f>
            <x14:dxf>
              <border>
                <left style="thin">
                  <color theme="0"/>
                </left>
                <right style="thin">
                  <color theme="0"/>
                </right>
                <top style="thin">
                  <color theme="0"/>
                </top>
                <bottom style="thin">
                  <color theme="0"/>
                </bottom>
                <vertical/>
                <horizontal/>
              </border>
            </x14:dxf>
          </x14:cfRule>
          <xm:sqref>U194:U207</xm:sqref>
        </x14:conditionalFormatting>
        <x14:conditionalFormatting xmlns:xm="http://schemas.microsoft.com/office/excel/2006/main">
          <x14:cfRule type="expression" priority="563" id="{59DC67A7-AED3-4C94-9F3D-E15C0CE6D8D8}">
            <xm:f>$S$8='Assessment Details'!$Q$23</xm:f>
            <x14:dxf>
              <font>
                <color theme="0"/>
              </font>
              <fill>
                <patternFill>
                  <bgColor theme="0"/>
                </patternFill>
              </fill>
              <border>
                <vertical/>
                <horizontal/>
              </border>
            </x14:dxf>
          </x14:cfRule>
          <xm:sqref>N194:N207</xm:sqref>
        </x14:conditionalFormatting>
        <x14:conditionalFormatting xmlns:xm="http://schemas.microsoft.com/office/excel/2006/main">
          <x14:cfRule type="expression" priority="562" id="{D470C32E-9F2E-4ECC-A7D9-0D38145C9893}">
            <xm:f>$S$8='Assessment Details'!$Q$23</xm:f>
            <x14:dxf>
              <border>
                <left style="thin">
                  <color theme="0"/>
                </left>
                <right style="thin">
                  <color theme="0"/>
                </right>
                <top style="thin">
                  <color theme="0"/>
                </top>
                <bottom style="thin">
                  <color theme="0"/>
                </bottom>
                <vertical/>
                <horizontal/>
              </border>
            </x14:dxf>
          </x14:cfRule>
          <xm:sqref>N194:N207</xm:sqref>
        </x14:conditionalFormatting>
        <x14:conditionalFormatting xmlns:xm="http://schemas.microsoft.com/office/excel/2006/main">
          <x14:cfRule type="expression" priority="557" id="{EDDC2238-6C67-480F-9BF4-AFDF50D3084D}">
            <xm:f>$S$8='Assessment Details'!$Q$23</xm:f>
            <x14:dxf>
              <font>
                <color theme="0"/>
              </font>
              <fill>
                <patternFill>
                  <bgColor theme="0"/>
                </patternFill>
              </fill>
              <border>
                <vertical/>
                <horizontal/>
              </border>
            </x14:dxf>
          </x14:cfRule>
          <xm:sqref>U194:U207</xm:sqref>
        </x14:conditionalFormatting>
        <x14:conditionalFormatting xmlns:xm="http://schemas.microsoft.com/office/excel/2006/main">
          <x14:cfRule type="expression" priority="556" id="{E2F5C077-BDDD-4B07-A881-974B93784BEB}">
            <xm:f>$S$8='Assessment Details'!$Q$23</xm:f>
            <x14:dxf>
              <border>
                <left style="thin">
                  <color theme="0"/>
                </left>
                <right style="thin">
                  <color theme="0"/>
                </right>
                <top style="thin">
                  <color theme="0"/>
                </top>
                <bottom style="thin">
                  <color theme="0"/>
                </bottom>
                <vertical/>
                <horizontal/>
              </border>
            </x14:dxf>
          </x14:cfRule>
          <xm:sqref>U194:U207</xm:sqref>
        </x14:conditionalFormatting>
        <x14:conditionalFormatting xmlns:xm="http://schemas.microsoft.com/office/excel/2006/main">
          <x14:cfRule type="expression" priority="555" id="{3BC69D2D-165D-45A9-8D8F-499754B18D23}">
            <xm:f>$S$8='Assessment Details'!$Q$23</xm:f>
            <x14:dxf>
              <font>
                <color theme="0"/>
              </font>
              <fill>
                <patternFill>
                  <bgColor theme="0"/>
                </patternFill>
              </fill>
              <border>
                <vertical/>
                <horizontal/>
              </border>
            </x14:dxf>
          </x14:cfRule>
          <xm:sqref>W194:W207</xm:sqref>
        </x14:conditionalFormatting>
        <x14:conditionalFormatting xmlns:xm="http://schemas.microsoft.com/office/excel/2006/main">
          <x14:cfRule type="expression" priority="554" id="{192FEE80-DFE5-4358-9809-7AC90906B053}">
            <xm:f>$S$8='Assessment Details'!$Q$23</xm:f>
            <x14:dxf>
              <border>
                <left style="thin">
                  <color theme="0"/>
                </left>
                <right style="thin">
                  <color theme="0"/>
                </right>
                <top style="thin">
                  <color theme="0"/>
                </top>
                <bottom style="thin">
                  <color theme="0"/>
                </bottom>
                <vertical/>
                <horizontal/>
              </border>
            </x14:dxf>
          </x14:cfRule>
          <xm:sqref>W194:W207</xm:sqref>
        </x14:conditionalFormatting>
        <x14:conditionalFormatting xmlns:xm="http://schemas.microsoft.com/office/excel/2006/main">
          <x14:cfRule type="expression" priority="587" id="{E528BB73-543D-4A5F-96B3-784CF6DDEB34}">
            <xm:f>$Z$8='Assessment Details'!$Q$23</xm:f>
            <x14:dxf>
              <font>
                <color theme="0"/>
              </font>
              <fill>
                <patternFill>
                  <bgColor theme="0"/>
                </patternFill>
              </fill>
            </x14:dxf>
          </x14:cfRule>
          <xm:sqref>U194:Z207</xm:sqref>
        </x14:conditionalFormatting>
        <x14:conditionalFormatting xmlns:xm="http://schemas.microsoft.com/office/excel/2006/main">
          <x14:cfRule type="expression" priority="588" id="{1E2066D6-A793-40B2-9F3E-575105D5FDF6}">
            <xm:f>$Z$8='Assessment Details'!$Q$23</xm:f>
            <x14:dxf>
              <border>
                <left style="thin">
                  <color theme="0"/>
                </left>
                <right style="thin">
                  <color theme="0"/>
                </right>
                <top style="thin">
                  <color theme="0"/>
                </top>
                <bottom style="thin">
                  <color theme="0"/>
                </bottom>
                <vertical/>
                <horizontal/>
              </border>
            </x14:dxf>
          </x14:cfRule>
          <xm:sqref>U194:Z207</xm:sqref>
        </x14:conditionalFormatting>
        <x14:conditionalFormatting xmlns:xm="http://schemas.microsoft.com/office/excel/2006/main">
          <x14:cfRule type="expression" priority="538" id="{A622B995-6D9D-4D80-BA4E-8DA1A9453462}">
            <xm:f>$S$8='Assessment Details'!$Q$23</xm:f>
            <x14:dxf>
              <font>
                <color theme="0"/>
              </font>
              <fill>
                <patternFill>
                  <bgColor theme="0"/>
                </patternFill>
              </fill>
              <border>
                <vertical/>
                <horizontal/>
              </border>
            </x14:dxf>
          </x14:cfRule>
          <xm:sqref>N211:S224</xm:sqref>
        </x14:conditionalFormatting>
        <x14:conditionalFormatting xmlns:xm="http://schemas.microsoft.com/office/excel/2006/main">
          <x14:cfRule type="expression" priority="537" id="{0FC0FD56-939B-4078-BC52-1911777DA96B}">
            <xm:f>$S$8='Assessment Details'!$Q$23</xm:f>
            <x14:dxf>
              <border>
                <left style="thin">
                  <color theme="0"/>
                </left>
                <right style="thin">
                  <color theme="0"/>
                </right>
                <top style="thin">
                  <color theme="0"/>
                </top>
                <bottom style="thin">
                  <color theme="0"/>
                </bottom>
                <vertical/>
                <horizontal/>
              </border>
            </x14:dxf>
          </x14:cfRule>
          <xm:sqref>N211:S224</xm:sqref>
        </x14:conditionalFormatting>
        <x14:conditionalFormatting xmlns:xm="http://schemas.microsoft.com/office/excel/2006/main">
          <x14:cfRule type="expression" priority="536" id="{D06F94AD-33C2-44A8-B55C-4E4E3995A6E8}">
            <xm:f>$S$8='Assessment Details'!$Q$23</xm:f>
            <x14:dxf>
              <font>
                <color theme="0"/>
              </font>
              <fill>
                <patternFill>
                  <bgColor theme="0"/>
                </patternFill>
              </fill>
              <border>
                <vertical/>
                <horizontal/>
              </border>
            </x14:dxf>
          </x14:cfRule>
          <xm:sqref>G211:G224</xm:sqref>
        </x14:conditionalFormatting>
        <x14:conditionalFormatting xmlns:xm="http://schemas.microsoft.com/office/excel/2006/main">
          <x14:cfRule type="expression" priority="535" id="{2F1BDC43-8D9F-4BCE-9F34-23AE00E19A4B}">
            <xm:f>$S$8='Assessment Details'!$Q$23</xm:f>
            <x14:dxf>
              <border>
                <left style="thin">
                  <color theme="0"/>
                </left>
                <right style="thin">
                  <color theme="0"/>
                </right>
                <top style="thin">
                  <color theme="0"/>
                </top>
                <bottom style="thin">
                  <color theme="0"/>
                </bottom>
                <vertical/>
                <horizontal/>
              </border>
            </x14:dxf>
          </x14:cfRule>
          <xm:sqref>G211:G224</xm:sqref>
        </x14:conditionalFormatting>
        <x14:conditionalFormatting xmlns:xm="http://schemas.microsoft.com/office/excel/2006/main">
          <x14:cfRule type="expression" priority="534" id="{859BD1F2-744F-486B-8C55-96B20456F3E0}">
            <xm:f>$S$8='Assessment Details'!$Q$23</xm:f>
            <x14:dxf>
              <font>
                <color theme="0"/>
              </font>
              <fill>
                <patternFill>
                  <bgColor theme="0"/>
                </patternFill>
              </fill>
              <border>
                <vertical/>
                <horizontal/>
              </border>
            </x14:dxf>
          </x14:cfRule>
          <xm:sqref>U211:U224</xm:sqref>
        </x14:conditionalFormatting>
        <x14:conditionalFormatting xmlns:xm="http://schemas.microsoft.com/office/excel/2006/main">
          <x14:cfRule type="expression" priority="533" id="{6B6532E9-94D4-4CB6-B791-5B4CE536DDAB}">
            <xm:f>$S$8='Assessment Details'!$Q$23</xm:f>
            <x14:dxf>
              <border>
                <left style="thin">
                  <color theme="0"/>
                </left>
                <right style="thin">
                  <color theme="0"/>
                </right>
                <top style="thin">
                  <color theme="0"/>
                </top>
                <bottom style="thin">
                  <color theme="0"/>
                </bottom>
                <vertical/>
                <horizontal/>
              </border>
            </x14:dxf>
          </x14:cfRule>
          <xm:sqref>U211:U224</xm:sqref>
        </x14:conditionalFormatting>
        <x14:conditionalFormatting xmlns:xm="http://schemas.microsoft.com/office/excel/2006/main">
          <x14:cfRule type="expression" priority="528" id="{D5EEB7E8-075A-482B-AFC1-51C683A2E573}">
            <xm:f>$S$8='Assessment Details'!$Q$23</xm:f>
            <x14:dxf>
              <font>
                <color theme="0"/>
              </font>
              <fill>
                <patternFill>
                  <bgColor theme="0"/>
                </patternFill>
              </fill>
              <border>
                <vertical/>
                <horizontal/>
              </border>
            </x14:dxf>
          </x14:cfRule>
          <xm:sqref>N211:N224</xm:sqref>
        </x14:conditionalFormatting>
        <x14:conditionalFormatting xmlns:xm="http://schemas.microsoft.com/office/excel/2006/main">
          <x14:cfRule type="expression" priority="527" id="{0B813027-90C8-4BFC-A25A-05CF56010166}">
            <xm:f>$S$8='Assessment Details'!$Q$23</xm:f>
            <x14:dxf>
              <border>
                <left style="thin">
                  <color theme="0"/>
                </left>
                <right style="thin">
                  <color theme="0"/>
                </right>
                <top style="thin">
                  <color theme="0"/>
                </top>
                <bottom style="thin">
                  <color theme="0"/>
                </bottom>
                <vertical/>
                <horizontal/>
              </border>
            </x14:dxf>
          </x14:cfRule>
          <xm:sqref>N211:N224</xm:sqref>
        </x14:conditionalFormatting>
        <x14:conditionalFormatting xmlns:xm="http://schemas.microsoft.com/office/excel/2006/main">
          <x14:cfRule type="expression" priority="522" id="{93639341-C588-40F7-9B23-91C6EB324DC0}">
            <xm:f>$S$8='Assessment Details'!$Q$23</xm:f>
            <x14:dxf>
              <font>
                <color theme="0"/>
              </font>
              <fill>
                <patternFill>
                  <bgColor theme="0"/>
                </patternFill>
              </fill>
              <border>
                <vertical/>
                <horizontal/>
              </border>
            </x14:dxf>
          </x14:cfRule>
          <xm:sqref>U211:U224</xm:sqref>
        </x14:conditionalFormatting>
        <x14:conditionalFormatting xmlns:xm="http://schemas.microsoft.com/office/excel/2006/main">
          <x14:cfRule type="expression" priority="521" id="{7B7128F1-54B0-4D1C-81B6-79A14A8DBC5D}">
            <xm:f>$S$8='Assessment Details'!$Q$23</xm:f>
            <x14:dxf>
              <border>
                <left style="thin">
                  <color theme="0"/>
                </left>
                <right style="thin">
                  <color theme="0"/>
                </right>
                <top style="thin">
                  <color theme="0"/>
                </top>
                <bottom style="thin">
                  <color theme="0"/>
                </bottom>
                <vertical/>
                <horizontal/>
              </border>
            </x14:dxf>
          </x14:cfRule>
          <xm:sqref>U211:U224</xm:sqref>
        </x14:conditionalFormatting>
        <x14:conditionalFormatting xmlns:xm="http://schemas.microsoft.com/office/excel/2006/main">
          <x14:cfRule type="expression" priority="520" id="{CAEE13B0-6E62-49E8-8123-F42128112D58}">
            <xm:f>$S$8='Assessment Details'!$Q$23</xm:f>
            <x14:dxf>
              <font>
                <color theme="0"/>
              </font>
              <fill>
                <patternFill>
                  <bgColor theme="0"/>
                </patternFill>
              </fill>
              <border>
                <vertical/>
                <horizontal/>
              </border>
            </x14:dxf>
          </x14:cfRule>
          <xm:sqref>W211:W224</xm:sqref>
        </x14:conditionalFormatting>
        <x14:conditionalFormatting xmlns:xm="http://schemas.microsoft.com/office/excel/2006/main">
          <x14:cfRule type="expression" priority="519" id="{B122DFB8-CD2D-4DCF-B071-7928086D03E9}">
            <xm:f>$S$8='Assessment Details'!$Q$23</xm:f>
            <x14:dxf>
              <border>
                <left style="thin">
                  <color theme="0"/>
                </left>
                <right style="thin">
                  <color theme="0"/>
                </right>
                <top style="thin">
                  <color theme="0"/>
                </top>
                <bottom style="thin">
                  <color theme="0"/>
                </bottom>
                <vertical/>
                <horizontal/>
              </border>
            </x14:dxf>
          </x14:cfRule>
          <xm:sqref>W211:W224</xm:sqref>
        </x14:conditionalFormatting>
        <x14:conditionalFormatting xmlns:xm="http://schemas.microsoft.com/office/excel/2006/main">
          <x14:cfRule type="expression" priority="552" id="{7C88334D-52CD-4F47-88C6-30AD86C01FC2}">
            <xm:f>$Z$8='Assessment Details'!$Q$23</xm:f>
            <x14:dxf>
              <font>
                <color theme="0"/>
              </font>
              <fill>
                <patternFill>
                  <bgColor theme="0"/>
                </patternFill>
              </fill>
            </x14:dxf>
          </x14:cfRule>
          <xm:sqref>U211:Z224</xm:sqref>
        </x14:conditionalFormatting>
        <x14:conditionalFormatting xmlns:xm="http://schemas.microsoft.com/office/excel/2006/main">
          <x14:cfRule type="expression" priority="553" id="{C715343C-CBDE-46AC-8E04-F1520CC08A4D}">
            <xm:f>$Z$8='Assessment Details'!$Q$23</xm:f>
            <x14:dxf>
              <border>
                <left style="thin">
                  <color theme="0"/>
                </left>
                <right style="thin">
                  <color theme="0"/>
                </right>
                <top style="thin">
                  <color theme="0"/>
                </top>
                <bottom style="thin">
                  <color theme="0"/>
                </bottom>
                <vertical/>
                <horizontal/>
              </border>
            </x14:dxf>
          </x14:cfRule>
          <xm:sqref>U211:Z224</xm:sqref>
        </x14:conditionalFormatting>
        <x14:conditionalFormatting xmlns:xm="http://schemas.microsoft.com/office/excel/2006/main">
          <x14:cfRule type="expression" priority="515" id="{1D0B6816-0ACD-49D3-AC26-20489EC84DC6}">
            <xm:f>$S$8='Assessment Details'!$Q$23</xm:f>
            <x14:dxf>
              <font>
                <color theme="0"/>
              </font>
              <fill>
                <patternFill>
                  <bgColor theme="0"/>
                </patternFill>
              </fill>
              <border>
                <vertical/>
                <horizontal/>
              </border>
            </x14:dxf>
          </x14:cfRule>
          <xm:sqref>N117:S117</xm:sqref>
        </x14:conditionalFormatting>
        <x14:conditionalFormatting xmlns:xm="http://schemas.microsoft.com/office/excel/2006/main">
          <x14:cfRule type="expression" priority="514" id="{D60F16AA-CFD6-478C-B82B-6628FEEA277D}">
            <xm:f>$S$8='Assessment Details'!$Q$23</xm:f>
            <x14:dxf>
              <border>
                <left style="thin">
                  <color theme="0"/>
                </left>
                <right style="thin">
                  <color theme="0"/>
                </right>
                <top style="thin">
                  <color theme="0"/>
                </top>
                <bottom style="thin">
                  <color theme="0"/>
                </bottom>
                <vertical/>
                <horizontal/>
              </border>
            </x14:dxf>
          </x14:cfRule>
          <xm:sqref>N117:S117</xm:sqref>
        </x14:conditionalFormatting>
        <x14:conditionalFormatting xmlns:xm="http://schemas.microsoft.com/office/excel/2006/main">
          <x14:cfRule type="expression" priority="517" id="{356C8871-B85B-4DC4-B3B6-F9AE9E51B2A7}">
            <xm:f>$Z$8='Assessment Details'!$Q$23</xm:f>
            <x14:dxf>
              <font>
                <color theme="0"/>
              </font>
              <fill>
                <patternFill>
                  <bgColor theme="0"/>
                </patternFill>
              </fill>
            </x14:dxf>
          </x14:cfRule>
          <xm:sqref>U117:Z117</xm:sqref>
        </x14:conditionalFormatting>
        <x14:conditionalFormatting xmlns:xm="http://schemas.microsoft.com/office/excel/2006/main">
          <x14:cfRule type="expression" priority="518" id="{EE1426CC-AADA-4C43-89C9-CBC68939AD4E}">
            <xm:f>$Z$8='Assessment Details'!$Q$23</xm:f>
            <x14:dxf>
              <border>
                <left style="thin">
                  <color theme="0"/>
                </left>
                <right style="thin">
                  <color theme="0"/>
                </right>
                <top style="thin">
                  <color theme="0"/>
                </top>
                <bottom style="thin">
                  <color theme="0"/>
                </bottom>
                <vertical/>
                <horizontal/>
              </border>
            </x14:dxf>
          </x14:cfRule>
          <xm:sqref>U117:Z117</xm:sqref>
        </x14:conditionalFormatting>
        <x14:conditionalFormatting xmlns:xm="http://schemas.microsoft.com/office/excel/2006/main">
          <x14:cfRule type="expression" priority="486" id="{AAC646EB-E609-4B62-BA1C-07FADE370399}">
            <xm:f>$S$8='Assessment Details'!$Q$23</xm:f>
            <x14:dxf>
              <font>
                <color theme="0"/>
              </font>
              <fill>
                <patternFill>
                  <bgColor theme="0"/>
                </patternFill>
              </fill>
              <border>
                <vertical/>
                <horizontal/>
              </border>
            </x14:dxf>
          </x14:cfRule>
          <xm:sqref>N116:S116</xm:sqref>
        </x14:conditionalFormatting>
        <x14:conditionalFormatting xmlns:xm="http://schemas.microsoft.com/office/excel/2006/main">
          <x14:cfRule type="expression" priority="485" id="{9F1C9523-6848-4855-B1CE-296AC42A3F84}">
            <xm:f>$S$8='Assessment Details'!$Q$23</xm:f>
            <x14:dxf>
              <border>
                <left style="thin">
                  <color theme="0"/>
                </left>
                <right style="thin">
                  <color theme="0"/>
                </right>
                <top style="thin">
                  <color theme="0"/>
                </top>
                <bottom style="thin">
                  <color theme="0"/>
                </bottom>
                <vertical/>
                <horizontal/>
              </border>
            </x14:dxf>
          </x14:cfRule>
          <xm:sqref>N116:S116</xm:sqref>
        </x14:conditionalFormatting>
        <x14:conditionalFormatting xmlns:xm="http://schemas.microsoft.com/office/excel/2006/main">
          <x14:cfRule type="expression" priority="500" id="{2099D480-B086-4F8D-83F6-F22D9B86716E}">
            <xm:f>$Z$8='Assessment Details'!$Q$23</xm:f>
            <x14:dxf>
              <font>
                <color theme="0"/>
              </font>
              <fill>
                <patternFill>
                  <bgColor theme="0"/>
                </patternFill>
              </fill>
            </x14:dxf>
          </x14:cfRule>
          <xm:sqref>U116:Z116</xm:sqref>
        </x14:conditionalFormatting>
        <x14:conditionalFormatting xmlns:xm="http://schemas.microsoft.com/office/excel/2006/main">
          <x14:cfRule type="expression" priority="501" id="{82BA2FFD-9433-4653-AA4C-7E011B5F0442}">
            <xm:f>$Z$8='Assessment Details'!$Q$23</xm:f>
            <x14:dxf>
              <border>
                <left style="thin">
                  <color theme="0"/>
                </left>
                <right style="thin">
                  <color theme="0"/>
                </right>
                <top style="thin">
                  <color theme="0"/>
                </top>
                <bottom style="thin">
                  <color theme="0"/>
                </bottom>
                <vertical/>
                <horizontal/>
              </border>
            </x14:dxf>
          </x14:cfRule>
          <xm:sqref>U116:Z116</xm:sqref>
        </x14:conditionalFormatting>
        <x14:conditionalFormatting xmlns:xm="http://schemas.microsoft.com/office/excel/2006/main">
          <x14:cfRule type="expression" priority="469" id="{C5236988-C79D-4852-8999-11FFAE35BC9E}">
            <xm:f>$S$8='Assessment Details'!$Q$23</xm:f>
            <x14:dxf>
              <font>
                <color theme="0"/>
              </font>
              <fill>
                <patternFill>
                  <bgColor theme="0"/>
                </patternFill>
              </fill>
              <border>
                <vertical/>
                <horizontal/>
              </border>
            </x14:dxf>
          </x14:cfRule>
          <xm:sqref>N115:S115</xm:sqref>
        </x14:conditionalFormatting>
        <x14:conditionalFormatting xmlns:xm="http://schemas.microsoft.com/office/excel/2006/main">
          <x14:cfRule type="expression" priority="468" id="{DDEF06B5-E1D9-4BD4-89DA-28BA0E1AE4FC}">
            <xm:f>$S$8='Assessment Details'!$Q$23</xm:f>
            <x14:dxf>
              <border>
                <left style="thin">
                  <color theme="0"/>
                </left>
                <right style="thin">
                  <color theme="0"/>
                </right>
                <top style="thin">
                  <color theme="0"/>
                </top>
                <bottom style="thin">
                  <color theme="0"/>
                </bottom>
                <vertical/>
                <horizontal/>
              </border>
            </x14:dxf>
          </x14:cfRule>
          <xm:sqref>N115:S115</xm:sqref>
        </x14:conditionalFormatting>
        <x14:conditionalFormatting xmlns:xm="http://schemas.microsoft.com/office/excel/2006/main">
          <x14:cfRule type="expression" priority="467" id="{C347AA3C-D0B8-4F09-B4D1-36DB18DE78EF}">
            <xm:f>$S$8='Assessment Details'!$Q$23</xm:f>
            <x14:dxf>
              <font>
                <color theme="0"/>
              </font>
              <fill>
                <patternFill>
                  <bgColor theme="0"/>
                </patternFill>
              </fill>
              <border>
                <vertical/>
                <horizontal/>
              </border>
            </x14:dxf>
          </x14:cfRule>
          <xm:sqref>G115</xm:sqref>
        </x14:conditionalFormatting>
        <x14:conditionalFormatting xmlns:xm="http://schemas.microsoft.com/office/excel/2006/main">
          <x14:cfRule type="expression" priority="466" id="{8968B4EF-1BC8-4A39-B0EC-CDE08651E6BB}">
            <xm:f>$S$8='Assessment Details'!$Q$23</xm:f>
            <x14:dxf>
              <border>
                <left style="thin">
                  <color theme="0"/>
                </left>
                <right style="thin">
                  <color theme="0"/>
                </right>
                <top style="thin">
                  <color theme="0"/>
                </top>
                <bottom style="thin">
                  <color theme="0"/>
                </bottom>
                <vertical/>
                <horizontal/>
              </border>
            </x14:dxf>
          </x14:cfRule>
          <xm:sqref>G115</xm:sqref>
        </x14:conditionalFormatting>
        <x14:conditionalFormatting xmlns:xm="http://schemas.microsoft.com/office/excel/2006/main">
          <x14:cfRule type="expression" priority="465" id="{69D85CA4-253D-4379-BE5F-2600F332D9AE}">
            <xm:f>$S$8='Assessment Details'!$Q$23</xm:f>
            <x14:dxf>
              <font>
                <color theme="0"/>
              </font>
              <fill>
                <patternFill>
                  <bgColor theme="0"/>
                </patternFill>
              </fill>
              <border>
                <vertical/>
                <horizontal/>
              </border>
            </x14:dxf>
          </x14:cfRule>
          <xm:sqref>U115</xm:sqref>
        </x14:conditionalFormatting>
        <x14:conditionalFormatting xmlns:xm="http://schemas.microsoft.com/office/excel/2006/main">
          <x14:cfRule type="expression" priority="464" id="{5C0A885D-4C5B-45DD-92FD-4D0E01D2BDDC}">
            <xm:f>$S$8='Assessment Details'!$Q$23</xm:f>
            <x14:dxf>
              <border>
                <left style="thin">
                  <color theme="0"/>
                </left>
                <right style="thin">
                  <color theme="0"/>
                </right>
                <top style="thin">
                  <color theme="0"/>
                </top>
                <bottom style="thin">
                  <color theme="0"/>
                </bottom>
                <vertical/>
                <horizontal/>
              </border>
            </x14:dxf>
          </x14:cfRule>
          <xm:sqref>U115</xm:sqref>
        </x14:conditionalFormatting>
        <x14:conditionalFormatting xmlns:xm="http://schemas.microsoft.com/office/excel/2006/main">
          <x14:cfRule type="expression" priority="463" id="{D376F328-03D9-4CEE-8BAC-7288D8179742}">
            <xm:f>$S$8='Assessment Details'!$Q$23</xm:f>
            <x14:dxf>
              <font>
                <color theme="0"/>
              </font>
              <fill>
                <patternFill>
                  <bgColor theme="0"/>
                </patternFill>
              </fill>
              <border>
                <vertical/>
                <horizontal/>
              </border>
            </x14:dxf>
          </x14:cfRule>
          <xm:sqref>W115</xm:sqref>
        </x14:conditionalFormatting>
        <x14:conditionalFormatting xmlns:xm="http://schemas.microsoft.com/office/excel/2006/main">
          <x14:cfRule type="expression" priority="462" id="{16FB1F49-1E96-4739-AC5F-3FECD1E2F8D7}">
            <xm:f>$S$8='Assessment Details'!$Q$23</xm:f>
            <x14:dxf>
              <border>
                <left style="thin">
                  <color theme="0"/>
                </left>
                <right style="thin">
                  <color theme="0"/>
                </right>
                <top style="thin">
                  <color theme="0"/>
                </top>
                <bottom style="thin">
                  <color theme="0"/>
                </bottom>
                <vertical/>
                <horizontal/>
              </border>
            </x14:dxf>
          </x14:cfRule>
          <xm:sqref>W115</xm:sqref>
        </x14:conditionalFormatting>
        <x14:conditionalFormatting xmlns:xm="http://schemas.microsoft.com/office/excel/2006/main">
          <x14:cfRule type="expression" priority="483" id="{615ACCA1-B3C1-46D8-8DCA-8569DD362245}">
            <xm:f>$Z$8='Assessment Details'!$Q$23</xm:f>
            <x14:dxf>
              <font>
                <color theme="0"/>
              </font>
              <fill>
                <patternFill>
                  <bgColor theme="0"/>
                </patternFill>
              </fill>
            </x14:dxf>
          </x14:cfRule>
          <xm:sqref>U115:Z115</xm:sqref>
        </x14:conditionalFormatting>
        <x14:conditionalFormatting xmlns:xm="http://schemas.microsoft.com/office/excel/2006/main">
          <x14:cfRule type="expression" priority="484" id="{09B8543E-EE9F-4ACC-816B-265230469AE1}">
            <xm:f>$Z$8='Assessment Details'!$Q$23</xm:f>
            <x14:dxf>
              <border>
                <left style="thin">
                  <color theme="0"/>
                </left>
                <right style="thin">
                  <color theme="0"/>
                </right>
                <top style="thin">
                  <color theme="0"/>
                </top>
                <bottom style="thin">
                  <color theme="0"/>
                </bottom>
                <vertical/>
                <horizontal/>
              </border>
            </x14:dxf>
          </x14:cfRule>
          <xm:sqref>U115:Z115</xm:sqref>
        </x14:conditionalFormatting>
        <x14:conditionalFormatting xmlns:xm="http://schemas.microsoft.com/office/excel/2006/main">
          <x14:cfRule type="expression" priority="458" id="{065B54E9-10FD-4A6F-ABC8-5F7EE8EA1D21}">
            <xm:f>$S$8='Assessment Details'!$Q$23</xm:f>
            <x14:dxf>
              <font>
                <color theme="0"/>
              </font>
              <fill>
                <patternFill>
                  <bgColor theme="0"/>
                </patternFill>
              </fill>
              <border>
                <vertical/>
                <horizontal/>
              </border>
            </x14:dxf>
          </x14:cfRule>
          <xm:sqref>N147:S147</xm:sqref>
        </x14:conditionalFormatting>
        <x14:conditionalFormatting xmlns:xm="http://schemas.microsoft.com/office/excel/2006/main">
          <x14:cfRule type="expression" priority="457" id="{6A970959-C929-4159-981D-2B2BF03B0E28}">
            <xm:f>$S$8='Assessment Details'!$Q$23</xm:f>
            <x14:dxf>
              <border>
                <left style="thin">
                  <color theme="0"/>
                </left>
                <right style="thin">
                  <color theme="0"/>
                </right>
                <top style="thin">
                  <color theme="0"/>
                </top>
                <bottom style="thin">
                  <color theme="0"/>
                </bottom>
                <vertical/>
                <horizontal/>
              </border>
            </x14:dxf>
          </x14:cfRule>
          <xm:sqref>N147:S147</xm:sqref>
        </x14:conditionalFormatting>
        <x14:conditionalFormatting xmlns:xm="http://schemas.microsoft.com/office/excel/2006/main">
          <x14:cfRule type="expression" priority="460" id="{5D0546AA-2DA6-4AAE-94D6-686ECE21A073}">
            <xm:f>$Z$8='Assessment Details'!$Q$23</xm:f>
            <x14:dxf>
              <font>
                <color theme="0"/>
              </font>
              <fill>
                <patternFill>
                  <bgColor theme="0"/>
                </patternFill>
              </fill>
            </x14:dxf>
          </x14:cfRule>
          <xm:sqref>U147:Z147</xm:sqref>
        </x14:conditionalFormatting>
        <x14:conditionalFormatting xmlns:xm="http://schemas.microsoft.com/office/excel/2006/main">
          <x14:cfRule type="expression" priority="461" id="{3E2AAD29-A6D9-4014-8E03-38B448FE21C0}">
            <xm:f>$Z$8='Assessment Details'!$Q$23</xm:f>
            <x14:dxf>
              <border>
                <left style="thin">
                  <color theme="0"/>
                </left>
                <right style="thin">
                  <color theme="0"/>
                </right>
                <top style="thin">
                  <color theme="0"/>
                </top>
                <bottom style="thin">
                  <color theme="0"/>
                </bottom>
                <vertical/>
                <horizontal/>
              </border>
            </x14:dxf>
          </x14:cfRule>
          <xm:sqref>U147:Z147</xm:sqref>
        </x14:conditionalFormatting>
        <x14:conditionalFormatting xmlns:xm="http://schemas.microsoft.com/office/excel/2006/main">
          <x14:cfRule type="expression" priority="412" id="{EFF4629E-F88C-401C-B24C-4393F3F8C395}">
            <xm:f>$S$8='Assessment Details'!$Q$23</xm:f>
            <x14:dxf>
              <font>
                <color theme="0"/>
              </font>
              <fill>
                <patternFill>
                  <bgColor theme="0"/>
                </patternFill>
              </fill>
              <border>
                <vertical/>
                <horizontal/>
              </border>
            </x14:dxf>
          </x14:cfRule>
          <xm:sqref>N146:S146</xm:sqref>
        </x14:conditionalFormatting>
        <x14:conditionalFormatting xmlns:xm="http://schemas.microsoft.com/office/excel/2006/main">
          <x14:cfRule type="expression" priority="411" id="{D2372C6D-1B3D-4954-940A-8D4EAD377660}">
            <xm:f>$S$8='Assessment Details'!$Q$23</xm:f>
            <x14:dxf>
              <border>
                <left style="thin">
                  <color theme="0"/>
                </left>
                <right style="thin">
                  <color theme="0"/>
                </right>
                <top style="thin">
                  <color theme="0"/>
                </top>
                <bottom style="thin">
                  <color theme="0"/>
                </bottom>
                <vertical/>
                <horizontal/>
              </border>
            </x14:dxf>
          </x14:cfRule>
          <xm:sqref>N146:S146</xm:sqref>
        </x14:conditionalFormatting>
        <x14:conditionalFormatting xmlns:xm="http://schemas.microsoft.com/office/excel/2006/main">
          <x14:cfRule type="expression" priority="426" id="{C7AF57F1-B3E5-46E1-A3EA-2655E8B396D8}">
            <xm:f>$Z$8='Assessment Details'!$Q$23</xm:f>
            <x14:dxf>
              <font>
                <color theme="0"/>
              </font>
              <fill>
                <patternFill>
                  <bgColor theme="0"/>
                </patternFill>
              </fill>
            </x14:dxf>
          </x14:cfRule>
          <xm:sqref>U146:Z146</xm:sqref>
        </x14:conditionalFormatting>
        <x14:conditionalFormatting xmlns:xm="http://schemas.microsoft.com/office/excel/2006/main">
          <x14:cfRule type="expression" priority="427" id="{293256E3-6A2E-441F-9171-D17EC6DDEFEF}">
            <xm:f>$Z$8='Assessment Details'!$Q$23</xm:f>
            <x14:dxf>
              <border>
                <left style="thin">
                  <color theme="0"/>
                </left>
                <right style="thin">
                  <color theme="0"/>
                </right>
                <top style="thin">
                  <color theme="0"/>
                </top>
                <bottom style="thin">
                  <color theme="0"/>
                </bottom>
                <vertical/>
                <horizontal/>
              </border>
            </x14:dxf>
          </x14:cfRule>
          <xm:sqref>U146:Z146</xm:sqref>
        </x14:conditionalFormatting>
        <x14:conditionalFormatting xmlns:xm="http://schemas.microsoft.com/office/excel/2006/main">
          <x14:cfRule type="expression" priority="395" id="{3C999881-22D4-4377-B422-96E7BA4A6D7C}">
            <xm:f>$S$8='Assessment Details'!$Q$23</xm:f>
            <x14:dxf>
              <font>
                <color theme="0"/>
              </font>
              <fill>
                <patternFill>
                  <bgColor theme="0"/>
                </patternFill>
              </fill>
              <border>
                <vertical/>
                <horizontal/>
              </border>
            </x14:dxf>
          </x14:cfRule>
          <xm:sqref>N145:S145</xm:sqref>
        </x14:conditionalFormatting>
        <x14:conditionalFormatting xmlns:xm="http://schemas.microsoft.com/office/excel/2006/main">
          <x14:cfRule type="expression" priority="394" id="{9EA097CD-30CD-4E04-894B-CC20B8E1FC75}">
            <xm:f>$S$8='Assessment Details'!$Q$23</xm:f>
            <x14:dxf>
              <border>
                <left style="thin">
                  <color theme="0"/>
                </left>
                <right style="thin">
                  <color theme="0"/>
                </right>
                <top style="thin">
                  <color theme="0"/>
                </top>
                <bottom style="thin">
                  <color theme="0"/>
                </bottom>
                <vertical/>
                <horizontal/>
              </border>
            </x14:dxf>
          </x14:cfRule>
          <xm:sqref>N145:S145</xm:sqref>
        </x14:conditionalFormatting>
        <x14:conditionalFormatting xmlns:xm="http://schemas.microsoft.com/office/excel/2006/main">
          <x14:cfRule type="expression" priority="393" id="{71344784-8930-41DD-9068-F1A27456F2FB}">
            <xm:f>$S$8='Assessment Details'!$Q$23</xm:f>
            <x14:dxf>
              <font>
                <color theme="0"/>
              </font>
              <fill>
                <patternFill>
                  <bgColor theme="0"/>
                </patternFill>
              </fill>
              <border>
                <vertical/>
                <horizontal/>
              </border>
            </x14:dxf>
          </x14:cfRule>
          <xm:sqref>G145</xm:sqref>
        </x14:conditionalFormatting>
        <x14:conditionalFormatting xmlns:xm="http://schemas.microsoft.com/office/excel/2006/main">
          <x14:cfRule type="expression" priority="392" id="{17D3BFAC-3ED5-46B7-8A87-FDE46A9FE42C}">
            <xm:f>$S$8='Assessment Details'!$Q$23</xm:f>
            <x14:dxf>
              <border>
                <left style="thin">
                  <color theme="0"/>
                </left>
                <right style="thin">
                  <color theme="0"/>
                </right>
                <top style="thin">
                  <color theme="0"/>
                </top>
                <bottom style="thin">
                  <color theme="0"/>
                </bottom>
                <vertical/>
                <horizontal/>
              </border>
            </x14:dxf>
          </x14:cfRule>
          <xm:sqref>G145</xm:sqref>
        </x14:conditionalFormatting>
        <x14:conditionalFormatting xmlns:xm="http://schemas.microsoft.com/office/excel/2006/main">
          <x14:cfRule type="expression" priority="391" id="{4D33337E-30D9-4C34-AEC2-F855097553FE}">
            <xm:f>$S$8='Assessment Details'!$Q$23</xm:f>
            <x14:dxf>
              <font>
                <color theme="0"/>
              </font>
              <fill>
                <patternFill>
                  <bgColor theme="0"/>
                </patternFill>
              </fill>
              <border>
                <vertical/>
                <horizontal/>
              </border>
            </x14:dxf>
          </x14:cfRule>
          <xm:sqref>U145</xm:sqref>
        </x14:conditionalFormatting>
        <x14:conditionalFormatting xmlns:xm="http://schemas.microsoft.com/office/excel/2006/main">
          <x14:cfRule type="expression" priority="390" id="{6D8C878D-D96F-446E-96C6-477ED50893A3}">
            <xm:f>$S$8='Assessment Details'!$Q$23</xm:f>
            <x14:dxf>
              <border>
                <left style="thin">
                  <color theme="0"/>
                </left>
                <right style="thin">
                  <color theme="0"/>
                </right>
                <top style="thin">
                  <color theme="0"/>
                </top>
                <bottom style="thin">
                  <color theme="0"/>
                </bottom>
                <vertical/>
                <horizontal/>
              </border>
            </x14:dxf>
          </x14:cfRule>
          <xm:sqref>U145</xm:sqref>
        </x14:conditionalFormatting>
        <x14:conditionalFormatting xmlns:xm="http://schemas.microsoft.com/office/excel/2006/main">
          <x14:cfRule type="expression" priority="389" id="{15294CC7-DCC1-4D84-827F-CB285653FCF0}">
            <xm:f>$S$8='Assessment Details'!$Q$23</xm:f>
            <x14:dxf>
              <font>
                <color theme="0"/>
              </font>
              <fill>
                <patternFill>
                  <bgColor theme="0"/>
                </patternFill>
              </fill>
              <border>
                <vertical/>
                <horizontal/>
              </border>
            </x14:dxf>
          </x14:cfRule>
          <xm:sqref>W145</xm:sqref>
        </x14:conditionalFormatting>
        <x14:conditionalFormatting xmlns:xm="http://schemas.microsoft.com/office/excel/2006/main">
          <x14:cfRule type="expression" priority="388" id="{E7CDA425-F81B-49E1-93FB-886D21F2B0CF}">
            <xm:f>$S$8='Assessment Details'!$Q$23</xm:f>
            <x14:dxf>
              <border>
                <left style="thin">
                  <color theme="0"/>
                </left>
                <right style="thin">
                  <color theme="0"/>
                </right>
                <top style="thin">
                  <color theme="0"/>
                </top>
                <bottom style="thin">
                  <color theme="0"/>
                </bottom>
                <vertical/>
                <horizontal/>
              </border>
            </x14:dxf>
          </x14:cfRule>
          <xm:sqref>W145</xm:sqref>
        </x14:conditionalFormatting>
        <x14:conditionalFormatting xmlns:xm="http://schemas.microsoft.com/office/excel/2006/main">
          <x14:cfRule type="expression" priority="409" id="{03FF957A-6047-4E35-9C1E-8D0487FCDA7B}">
            <xm:f>$Z$8='Assessment Details'!$Q$23</xm:f>
            <x14:dxf>
              <font>
                <color theme="0"/>
              </font>
              <fill>
                <patternFill>
                  <bgColor theme="0"/>
                </patternFill>
              </fill>
            </x14:dxf>
          </x14:cfRule>
          <xm:sqref>U145:Z145</xm:sqref>
        </x14:conditionalFormatting>
        <x14:conditionalFormatting xmlns:xm="http://schemas.microsoft.com/office/excel/2006/main">
          <x14:cfRule type="expression" priority="410" id="{00343659-48AD-46B3-B4BB-B29A3AEFEEC2}">
            <xm:f>$Z$8='Assessment Details'!$Q$23</xm:f>
            <x14:dxf>
              <border>
                <left style="thin">
                  <color theme="0"/>
                </left>
                <right style="thin">
                  <color theme="0"/>
                </right>
                <top style="thin">
                  <color theme="0"/>
                </top>
                <bottom style="thin">
                  <color theme="0"/>
                </bottom>
                <vertical/>
                <horizontal/>
              </border>
            </x14:dxf>
          </x14:cfRule>
          <xm:sqref>U145:Z145</xm:sqref>
        </x14:conditionalFormatting>
        <x14:conditionalFormatting xmlns:xm="http://schemas.microsoft.com/office/excel/2006/main">
          <x14:cfRule type="expression" priority="384" id="{FD0DBAA9-F08E-4C14-A08B-651DCC9992C3}">
            <xm:f>$S$8='Assessment Details'!$Q$23</xm:f>
            <x14:dxf>
              <font>
                <color theme="0"/>
              </font>
              <fill>
                <patternFill>
                  <bgColor theme="0"/>
                </patternFill>
              </fill>
              <border>
                <vertical/>
                <horizontal/>
              </border>
            </x14:dxf>
          </x14:cfRule>
          <xm:sqref>N162:S162</xm:sqref>
        </x14:conditionalFormatting>
        <x14:conditionalFormatting xmlns:xm="http://schemas.microsoft.com/office/excel/2006/main">
          <x14:cfRule type="expression" priority="383" id="{8F97BEAF-6DAD-4787-BD1B-9857C179295C}">
            <xm:f>$S$8='Assessment Details'!$Q$23</xm:f>
            <x14:dxf>
              <border>
                <left style="thin">
                  <color theme="0"/>
                </left>
                <right style="thin">
                  <color theme="0"/>
                </right>
                <top style="thin">
                  <color theme="0"/>
                </top>
                <bottom style="thin">
                  <color theme="0"/>
                </bottom>
                <vertical/>
                <horizontal/>
              </border>
            </x14:dxf>
          </x14:cfRule>
          <xm:sqref>N162:S162</xm:sqref>
        </x14:conditionalFormatting>
        <x14:conditionalFormatting xmlns:xm="http://schemas.microsoft.com/office/excel/2006/main">
          <x14:cfRule type="expression" priority="386" id="{141B743C-5323-4893-8270-4A989CC4771B}">
            <xm:f>$Z$8='Assessment Details'!$Q$23</xm:f>
            <x14:dxf>
              <font>
                <color theme="0"/>
              </font>
              <fill>
                <patternFill>
                  <bgColor theme="0"/>
                </patternFill>
              </fill>
            </x14:dxf>
          </x14:cfRule>
          <xm:sqref>U162:Z162</xm:sqref>
        </x14:conditionalFormatting>
        <x14:conditionalFormatting xmlns:xm="http://schemas.microsoft.com/office/excel/2006/main">
          <x14:cfRule type="expression" priority="387" id="{7735BDAE-C7D8-43C2-B4B1-85AE25DE2A5B}">
            <xm:f>$Z$8='Assessment Details'!$Q$23</xm:f>
            <x14:dxf>
              <border>
                <left style="thin">
                  <color theme="0"/>
                </left>
                <right style="thin">
                  <color theme="0"/>
                </right>
                <top style="thin">
                  <color theme="0"/>
                </top>
                <bottom style="thin">
                  <color theme="0"/>
                </bottom>
                <vertical/>
                <horizontal/>
              </border>
            </x14:dxf>
          </x14:cfRule>
          <xm:sqref>U162:Z162</xm:sqref>
        </x14:conditionalFormatting>
        <x14:conditionalFormatting xmlns:xm="http://schemas.microsoft.com/office/excel/2006/main">
          <x14:cfRule type="expression" priority="321" id="{D4593B21-BCBD-41EE-93A1-FDE51180C2A0}">
            <xm:f>$S$8='Assessment Details'!$Q$23</xm:f>
            <x14:dxf>
              <font>
                <color theme="0"/>
              </font>
              <fill>
                <patternFill>
                  <bgColor theme="0"/>
                </patternFill>
              </fill>
              <border>
                <vertical/>
                <horizontal/>
              </border>
            </x14:dxf>
          </x14:cfRule>
          <xm:sqref>N161:S161</xm:sqref>
        </x14:conditionalFormatting>
        <x14:conditionalFormatting xmlns:xm="http://schemas.microsoft.com/office/excel/2006/main">
          <x14:cfRule type="expression" priority="320" id="{E86AD8DD-06EB-41C6-889C-62DF146A38E0}">
            <xm:f>$S$8='Assessment Details'!$Q$23</xm:f>
            <x14:dxf>
              <border>
                <left style="thin">
                  <color theme="0"/>
                </left>
                <right style="thin">
                  <color theme="0"/>
                </right>
                <top style="thin">
                  <color theme="0"/>
                </top>
                <bottom style="thin">
                  <color theme="0"/>
                </bottom>
                <vertical/>
                <horizontal/>
              </border>
            </x14:dxf>
          </x14:cfRule>
          <xm:sqref>N161:S161</xm:sqref>
        </x14:conditionalFormatting>
        <x14:conditionalFormatting xmlns:xm="http://schemas.microsoft.com/office/excel/2006/main">
          <x14:cfRule type="expression" priority="335" id="{CE6C71F0-8DE5-40BB-90F5-389E0D4FCAF6}">
            <xm:f>$Z$8='Assessment Details'!$Q$23</xm:f>
            <x14:dxf>
              <font>
                <color theme="0"/>
              </font>
              <fill>
                <patternFill>
                  <bgColor theme="0"/>
                </patternFill>
              </fill>
            </x14:dxf>
          </x14:cfRule>
          <xm:sqref>U161:Z161</xm:sqref>
        </x14:conditionalFormatting>
        <x14:conditionalFormatting xmlns:xm="http://schemas.microsoft.com/office/excel/2006/main">
          <x14:cfRule type="expression" priority="336" id="{B4FF73DB-7FC4-4D3A-86B8-14B54CD36108}">
            <xm:f>$Z$8='Assessment Details'!$Q$23</xm:f>
            <x14:dxf>
              <border>
                <left style="thin">
                  <color theme="0"/>
                </left>
                <right style="thin">
                  <color theme="0"/>
                </right>
                <top style="thin">
                  <color theme="0"/>
                </top>
                <bottom style="thin">
                  <color theme="0"/>
                </bottom>
                <vertical/>
                <horizontal/>
              </border>
            </x14:dxf>
          </x14:cfRule>
          <xm:sqref>U161:Z161</xm:sqref>
        </x14:conditionalFormatting>
        <x14:conditionalFormatting xmlns:xm="http://schemas.microsoft.com/office/excel/2006/main">
          <x14:cfRule type="expression" priority="316" id="{DF0939D4-5C86-416C-A01A-143B9BBE00FB}">
            <xm:f>$S$8='Assessment Details'!$Q$23</xm:f>
            <x14:dxf>
              <font>
                <color theme="0"/>
              </font>
              <fill>
                <patternFill>
                  <bgColor theme="0"/>
                </patternFill>
              </fill>
              <border>
                <vertical/>
                <horizontal/>
              </border>
            </x14:dxf>
          </x14:cfRule>
          <xm:sqref>N193:S193</xm:sqref>
        </x14:conditionalFormatting>
        <x14:conditionalFormatting xmlns:xm="http://schemas.microsoft.com/office/excel/2006/main">
          <x14:cfRule type="expression" priority="315" id="{49C30E61-8273-4E18-B379-F23FBB54C136}">
            <xm:f>$S$8='Assessment Details'!$Q$23</xm:f>
            <x14:dxf>
              <border>
                <left style="thin">
                  <color theme="0"/>
                </left>
                <right style="thin">
                  <color theme="0"/>
                </right>
                <top style="thin">
                  <color theme="0"/>
                </top>
                <bottom style="thin">
                  <color theme="0"/>
                </bottom>
                <vertical/>
                <horizontal/>
              </border>
            </x14:dxf>
          </x14:cfRule>
          <xm:sqref>N193:S193</xm:sqref>
        </x14:conditionalFormatting>
        <x14:conditionalFormatting xmlns:xm="http://schemas.microsoft.com/office/excel/2006/main">
          <x14:cfRule type="expression" priority="318" id="{FE2F6299-E911-4B63-83B8-9AD7D7FCE704}">
            <xm:f>$Z$8='Assessment Details'!$Q$23</xm:f>
            <x14:dxf>
              <font>
                <color theme="0"/>
              </font>
              <fill>
                <patternFill>
                  <bgColor theme="0"/>
                </patternFill>
              </fill>
            </x14:dxf>
          </x14:cfRule>
          <xm:sqref>U193:Z193</xm:sqref>
        </x14:conditionalFormatting>
        <x14:conditionalFormatting xmlns:xm="http://schemas.microsoft.com/office/excel/2006/main">
          <x14:cfRule type="expression" priority="319" id="{10469AA9-0936-4CA9-8992-101317D5B895}">
            <xm:f>$Z$8='Assessment Details'!$Q$23</xm:f>
            <x14:dxf>
              <border>
                <left style="thin">
                  <color theme="0"/>
                </left>
                <right style="thin">
                  <color theme="0"/>
                </right>
                <top style="thin">
                  <color theme="0"/>
                </top>
                <bottom style="thin">
                  <color theme="0"/>
                </bottom>
                <vertical/>
                <horizontal/>
              </border>
            </x14:dxf>
          </x14:cfRule>
          <xm:sqref>U193:Z193</xm:sqref>
        </x14:conditionalFormatting>
        <x14:conditionalFormatting xmlns:xm="http://schemas.microsoft.com/office/excel/2006/main">
          <x14:cfRule type="expression" priority="253" id="{172ABDCD-A906-4466-9501-00076A6F915E}">
            <xm:f>$S$8='Assessment Details'!$Q$23</xm:f>
            <x14:dxf>
              <font>
                <color theme="0"/>
              </font>
              <fill>
                <patternFill>
                  <bgColor theme="0"/>
                </patternFill>
              </fill>
              <border>
                <vertical/>
                <horizontal/>
              </border>
            </x14:dxf>
          </x14:cfRule>
          <xm:sqref>N192:S192</xm:sqref>
        </x14:conditionalFormatting>
        <x14:conditionalFormatting xmlns:xm="http://schemas.microsoft.com/office/excel/2006/main">
          <x14:cfRule type="expression" priority="252" id="{8F551B71-707E-4638-864F-D436EACC243A}">
            <xm:f>$S$8='Assessment Details'!$Q$23</xm:f>
            <x14:dxf>
              <border>
                <left style="thin">
                  <color theme="0"/>
                </left>
                <right style="thin">
                  <color theme="0"/>
                </right>
                <top style="thin">
                  <color theme="0"/>
                </top>
                <bottom style="thin">
                  <color theme="0"/>
                </bottom>
                <vertical/>
                <horizontal/>
              </border>
            </x14:dxf>
          </x14:cfRule>
          <xm:sqref>N192:S192</xm:sqref>
        </x14:conditionalFormatting>
        <x14:conditionalFormatting xmlns:xm="http://schemas.microsoft.com/office/excel/2006/main">
          <x14:cfRule type="expression" priority="267" id="{0F515721-4D9F-4F7F-93BD-6FDC7B480D17}">
            <xm:f>$Z$8='Assessment Details'!$Q$23</xm:f>
            <x14:dxf>
              <font>
                <color theme="0"/>
              </font>
              <fill>
                <patternFill>
                  <bgColor theme="0"/>
                </patternFill>
              </fill>
            </x14:dxf>
          </x14:cfRule>
          <xm:sqref>U192:Z192</xm:sqref>
        </x14:conditionalFormatting>
        <x14:conditionalFormatting xmlns:xm="http://schemas.microsoft.com/office/excel/2006/main">
          <x14:cfRule type="expression" priority="268" id="{3AADF273-AAA5-44D8-A001-A16F769A1DEA}">
            <xm:f>$Z$8='Assessment Details'!$Q$23</xm:f>
            <x14:dxf>
              <border>
                <left style="thin">
                  <color theme="0"/>
                </left>
                <right style="thin">
                  <color theme="0"/>
                </right>
                <top style="thin">
                  <color theme="0"/>
                </top>
                <bottom style="thin">
                  <color theme="0"/>
                </bottom>
                <vertical/>
                <horizontal/>
              </border>
            </x14:dxf>
          </x14:cfRule>
          <xm:sqref>U192:Z192</xm:sqref>
        </x14:conditionalFormatting>
        <x14:conditionalFormatting xmlns:xm="http://schemas.microsoft.com/office/excel/2006/main">
          <x14:cfRule type="expression" priority="236" id="{8902EC28-A13A-4568-8D35-D2BD2AC15F0E}">
            <xm:f>$S$8='Assessment Details'!$Q$23</xm:f>
            <x14:dxf>
              <font>
                <color theme="0"/>
              </font>
              <fill>
                <patternFill>
                  <bgColor theme="0"/>
                </patternFill>
              </fill>
              <border>
                <vertical/>
                <horizontal/>
              </border>
            </x14:dxf>
          </x14:cfRule>
          <xm:sqref>N160:S160</xm:sqref>
        </x14:conditionalFormatting>
        <x14:conditionalFormatting xmlns:xm="http://schemas.microsoft.com/office/excel/2006/main">
          <x14:cfRule type="expression" priority="235" id="{2BBF6B89-459D-4AE7-8F3C-7D0CDA267539}">
            <xm:f>$S$8='Assessment Details'!$Q$23</xm:f>
            <x14:dxf>
              <border>
                <left style="thin">
                  <color theme="0"/>
                </left>
                <right style="thin">
                  <color theme="0"/>
                </right>
                <top style="thin">
                  <color theme="0"/>
                </top>
                <bottom style="thin">
                  <color theme="0"/>
                </bottom>
                <vertical/>
                <horizontal/>
              </border>
            </x14:dxf>
          </x14:cfRule>
          <xm:sqref>N160:S160</xm:sqref>
        </x14:conditionalFormatting>
        <x14:conditionalFormatting xmlns:xm="http://schemas.microsoft.com/office/excel/2006/main">
          <x14:cfRule type="expression" priority="234" id="{78FAA767-EF37-463D-829F-0B1AF2BEDA83}">
            <xm:f>$S$8='Assessment Details'!$Q$23</xm:f>
            <x14:dxf>
              <font>
                <color theme="0"/>
              </font>
              <fill>
                <patternFill>
                  <bgColor theme="0"/>
                </patternFill>
              </fill>
              <border>
                <vertical/>
                <horizontal/>
              </border>
            </x14:dxf>
          </x14:cfRule>
          <xm:sqref>G160</xm:sqref>
        </x14:conditionalFormatting>
        <x14:conditionalFormatting xmlns:xm="http://schemas.microsoft.com/office/excel/2006/main">
          <x14:cfRule type="expression" priority="233" id="{59A148E8-E2E2-4C13-9BA7-4917EEFC9810}">
            <xm:f>$S$8='Assessment Details'!$Q$23</xm:f>
            <x14:dxf>
              <border>
                <left style="thin">
                  <color theme="0"/>
                </left>
                <right style="thin">
                  <color theme="0"/>
                </right>
                <top style="thin">
                  <color theme="0"/>
                </top>
                <bottom style="thin">
                  <color theme="0"/>
                </bottom>
                <vertical/>
                <horizontal/>
              </border>
            </x14:dxf>
          </x14:cfRule>
          <xm:sqref>G160</xm:sqref>
        </x14:conditionalFormatting>
        <x14:conditionalFormatting xmlns:xm="http://schemas.microsoft.com/office/excel/2006/main">
          <x14:cfRule type="expression" priority="232" id="{86C6382E-6A5F-4F5E-AC04-32CFAFDEB67A}">
            <xm:f>$S$8='Assessment Details'!$Q$23</xm:f>
            <x14:dxf>
              <font>
                <color theme="0"/>
              </font>
              <fill>
                <patternFill>
                  <bgColor theme="0"/>
                </patternFill>
              </fill>
              <border>
                <vertical/>
                <horizontal/>
              </border>
            </x14:dxf>
          </x14:cfRule>
          <xm:sqref>U160</xm:sqref>
        </x14:conditionalFormatting>
        <x14:conditionalFormatting xmlns:xm="http://schemas.microsoft.com/office/excel/2006/main">
          <x14:cfRule type="expression" priority="231" id="{F2C142DA-9146-48ED-8F06-FFE18D63DF4B}">
            <xm:f>$S$8='Assessment Details'!$Q$23</xm:f>
            <x14:dxf>
              <border>
                <left style="thin">
                  <color theme="0"/>
                </left>
                <right style="thin">
                  <color theme="0"/>
                </right>
                <top style="thin">
                  <color theme="0"/>
                </top>
                <bottom style="thin">
                  <color theme="0"/>
                </bottom>
                <vertical/>
                <horizontal/>
              </border>
            </x14:dxf>
          </x14:cfRule>
          <xm:sqref>U160</xm:sqref>
        </x14:conditionalFormatting>
        <x14:conditionalFormatting xmlns:xm="http://schemas.microsoft.com/office/excel/2006/main">
          <x14:cfRule type="expression" priority="230" id="{7764DF05-321F-47B2-B72A-C2A9A1A2FECF}">
            <xm:f>$S$8='Assessment Details'!$Q$23</xm:f>
            <x14:dxf>
              <font>
                <color theme="0"/>
              </font>
              <fill>
                <patternFill>
                  <bgColor theme="0"/>
                </patternFill>
              </fill>
              <border>
                <vertical/>
                <horizontal/>
              </border>
            </x14:dxf>
          </x14:cfRule>
          <xm:sqref>W160</xm:sqref>
        </x14:conditionalFormatting>
        <x14:conditionalFormatting xmlns:xm="http://schemas.microsoft.com/office/excel/2006/main">
          <x14:cfRule type="expression" priority="229" id="{B82C095B-4C92-4313-875D-746BDAEB18CC}">
            <xm:f>$S$8='Assessment Details'!$Q$23</xm:f>
            <x14:dxf>
              <border>
                <left style="thin">
                  <color theme="0"/>
                </left>
                <right style="thin">
                  <color theme="0"/>
                </right>
                <top style="thin">
                  <color theme="0"/>
                </top>
                <bottom style="thin">
                  <color theme="0"/>
                </bottom>
                <vertical/>
                <horizontal/>
              </border>
            </x14:dxf>
          </x14:cfRule>
          <xm:sqref>W160</xm:sqref>
        </x14:conditionalFormatting>
        <x14:conditionalFormatting xmlns:xm="http://schemas.microsoft.com/office/excel/2006/main">
          <x14:cfRule type="expression" priority="250" id="{4FFB8211-36DB-4191-95CE-5B1D4C18C8BD}">
            <xm:f>$Z$8='Assessment Details'!$Q$23</xm:f>
            <x14:dxf>
              <font>
                <color theme="0"/>
              </font>
              <fill>
                <patternFill>
                  <bgColor theme="0"/>
                </patternFill>
              </fill>
            </x14:dxf>
          </x14:cfRule>
          <xm:sqref>U160:Z160</xm:sqref>
        </x14:conditionalFormatting>
        <x14:conditionalFormatting xmlns:xm="http://schemas.microsoft.com/office/excel/2006/main">
          <x14:cfRule type="expression" priority="251" id="{872ADC80-9CAB-401C-921D-E536F46A4077}">
            <xm:f>$Z$8='Assessment Details'!$Q$23</xm:f>
            <x14:dxf>
              <border>
                <left style="thin">
                  <color theme="0"/>
                </left>
                <right style="thin">
                  <color theme="0"/>
                </right>
                <top style="thin">
                  <color theme="0"/>
                </top>
                <bottom style="thin">
                  <color theme="0"/>
                </bottom>
                <vertical/>
                <horizontal/>
              </border>
            </x14:dxf>
          </x14:cfRule>
          <xm:sqref>U160:Z160</xm:sqref>
        </x14:conditionalFormatting>
        <x14:conditionalFormatting xmlns:xm="http://schemas.microsoft.com/office/excel/2006/main">
          <x14:cfRule type="expression" priority="213" id="{1F82CB99-86B1-4C85-BE83-6F868889274E}">
            <xm:f>$S$8='Assessment Details'!$Q$23</xm:f>
            <x14:dxf>
              <font>
                <color theme="0"/>
              </font>
              <fill>
                <patternFill>
                  <bgColor theme="0"/>
                </patternFill>
              </fill>
              <border>
                <vertical/>
                <horizontal/>
              </border>
            </x14:dxf>
          </x14:cfRule>
          <xm:sqref>N191:S191</xm:sqref>
        </x14:conditionalFormatting>
        <x14:conditionalFormatting xmlns:xm="http://schemas.microsoft.com/office/excel/2006/main">
          <x14:cfRule type="expression" priority="212" id="{66C2E343-3C3F-45C5-9998-4F365A5E1218}">
            <xm:f>$S$8='Assessment Details'!$Q$23</xm:f>
            <x14:dxf>
              <border>
                <left style="thin">
                  <color theme="0"/>
                </left>
                <right style="thin">
                  <color theme="0"/>
                </right>
                <top style="thin">
                  <color theme="0"/>
                </top>
                <bottom style="thin">
                  <color theme="0"/>
                </bottom>
                <vertical/>
                <horizontal/>
              </border>
            </x14:dxf>
          </x14:cfRule>
          <xm:sqref>N191:S191</xm:sqref>
        </x14:conditionalFormatting>
        <x14:conditionalFormatting xmlns:xm="http://schemas.microsoft.com/office/excel/2006/main">
          <x14:cfRule type="expression" priority="211" id="{18E0E177-DB10-4CCD-A6DD-FD5DBC3B9C04}">
            <xm:f>$S$8='Assessment Details'!$Q$23</xm:f>
            <x14:dxf>
              <font>
                <color theme="0"/>
              </font>
              <fill>
                <patternFill>
                  <bgColor theme="0"/>
                </patternFill>
              </fill>
              <border>
                <vertical/>
                <horizontal/>
              </border>
            </x14:dxf>
          </x14:cfRule>
          <xm:sqref>G191</xm:sqref>
        </x14:conditionalFormatting>
        <x14:conditionalFormatting xmlns:xm="http://schemas.microsoft.com/office/excel/2006/main">
          <x14:cfRule type="expression" priority="210" id="{16044C0A-A5C9-418D-A32A-9B5B3A75A31B}">
            <xm:f>$S$8='Assessment Details'!$Q$23</xm:f>
            <x14:dxf>
              <border>
                <left style="thin">
                  <color theme="0"/>
                </left>
                <right style="thin">
                  <color theme="0"/>
                </right>
                <top style="thin">
                  <color theme="0"/>
                </top>
                <bottom style="thin">
                  <color theme="0"/>
                </bottom>
                <vertical/>
                <horizontal/>
              </border>
            </x14:dxf>
          </x14:cfRule>
          <xm:sqref>G191</xm:sqref>
        </x14:conditionalFormatting>
        <x14:conditionalFormatting xmlns:xm="http://schemas.microsoft.com/office/excel/2006/main">
          <x14:cfRule type="expression" priority="209" id="{2CF24D95-D6A8-4ADF-AC6C-7911EAD520DC}">
            <xm:f>$S$8='Assessment Details'!$Q$23</xm:f>
            <x14:dxf>
              <font>
                <color theme="0"/>
              </font>
              <fill>
                <patternFill>
                  <bgColor theme="0"/>
                </patternFill>
              </fill>
              <border>
                <vertical/>
                <horizontal/>
              </border>
            </x14:dxf>
          </x14:cfRule>
          <xm:sqref>U191</xm:sqref>
        </x14:conditionalFormatting>
        <x14:conditionalFormatting xmlns:xm="http://schemas.microsoft.com/office/excel/2006/main">
          <x14:cfRule type="expression" priority="208" id="{FAAED642-554E-45E4-A2BB-A825EAA86F61}">
            <xm:f>$S$8='Assessment Details'!$Q$23</xm:f>
            <x14:dxf>
              <border>
                <left style="thin">
                  <color theme="0"/>
                </left>
                <right style="thin">
                  <color theme="0"/>
                </right>
                <top style="thin">
                  <color theme="0"/>
                </top>
                <bottom style="thin">
                  <color theme="0"/>
                </bottom>
                <vertical/>
                <horizontal/>
              </border>
            </x14:dxf>
          </x14:cfRule>
          <xm:sqref>U191</xm:sqref>
        </x14:conditionalFormatting>
        <x14:conditionalFormatting xmlns:xm="http://schemas.microsoft.com/office/excel/2006/main">
          <x14:cfRule type="expression" priority="207" id="{D4D93F42-D640-4B23-AD37-7880348A1394}">
            <xm:f>$S$8='Assessment Details'!$Q$23</xm:f>
            <x14:dxf>
              <font>
                <color theme="0"/>
              </font>
              <fill>
                <patternFill>
                  <bgColor theme="0"/>
                </patternFill>
              </fill>
              <border>
                <vertical/>
                <horizontal/>
              </border>
            </x14:dxf>
          </x14:cfRule>
          <xm:sqref>W191</xm:sqref>
        </x14:conditionalFormatting>
        <x14:conditionalFormatting xmlns:xm="http://schemas.microsoft.com/office/excel/2006/main">
          <x14:cfRule type="expression" priority="206" id="{BB2B278B-8E0D-4158-AD07-028EBC4D35F8}">
            <xm:f>$S$8='Assessment Details'!$Q$23</xm:f>
            <x14:dxf>
              <border>
                <left style="thin">
                  <color theme="0"/>
                </left>
                <right style="thin">
                  <color theme="0"/>
                </right>
                <top style="thin">
                  <color theme="0"/>
                </top>
                <bottom style="thin">
                  <color theme="0"/>
                </bottom>
                <vertical/>
                <horizontal/>
              </border>
            </x14:dxf>
          </x14:cfRule>
          <xm:sqref>W191</xm:sqref>
        </x14:conditionalFormatting>
        <x14:conditionalFormatting xmlns:xm="http://schemas.microsoft.com/office/excel/2006/main">
          <x14:cfRule type="expression" priority="227" id="{5418D619-AB96-4D2C-8C16-E5050535D56A}">
            <xm:f>$Z$8='Assessment Details'!$Q$23</xm:f>
            <x14:dxf>
              <font>
                <color theme="0"/>
              </font>
              <fill>
                <patternFill>
                  <bgColor theme="0"/>
                </patternFill>
              </fill>
            </x14:dxf>
          </x14:cfRule>
          <xm:sqref>U191:Z191</xm:sqref>
        </x14:conditionalFormatting>
        <x14:conditionalFormatting xmlns:xm="http://schemas.microsoft.com/office/excel/2006/main">
          <x14:cfRule type="expression" priority="228" id="{F9F89006-FC0B-4256-99DF-91FE2392B655}">
            <xm:f>$Z$8='Assessment Details'!$Q$23</xm:f>
            <x14:dxf>
              <border>
                <left style="thin">
                  <color theme="0"/>
                </left>
                <right style="thin">
                  <color theme="0"/>
                </right>
                <top style="thin">
                  <color theme="0"/>
                </top>
                <bottom style="thin">
                  <color theme="0"/>
                </bottom>
                <vertical/>
                <horizontal/>
              </border>
            </x14:dxf>
          </x14:cfRule>
          <xm:sqref>U191:Z191</xm:sqref>
        </x14:conditionalFormatting>
        <x14:conditionalFormatting xmlns:xm="http://schemas.microsoft.com/office/excel/2006/main">
          <x14:cfRule type="expression" priority="202" id="{CFDA2C22-138A-483B-8509-AB534E825605}">
            <xm:f>$S$8='Assessment Details'!$Q$23</xm:f>
            <x14:dxf>
              <font>
                <color theme="0"/>
              </font>
              <fill>
                <patternFill>
                  <bgColor theme="0"/>
                </patternFill>
              </fill>
              <border>
                <vertical/>
                <horizontal/>
              </border>
            </x14:dxf>
          </x14:cfRule>
          <xm:sqref>N210:S210</xm:sqref>
        </x14:conditionalFormatting>
        <x14:conditionalFormatting xmlns:xm="http://schemas.microsoft.com/office/excel/2006/main">
          <x14:cfRule type="expression" priority="201" id="{0B60F656-C5EA-44CE-83A6-B02906BADB7A}">
            <xm:f>$S$8='Assessment Details'!$Q$23</xm:f>
            <x14:dxf>
              <border>
                <left style="thin">
                  <color theme="0"/>
                </left>
                <right style="thin">
                  <color theme="0"/>
                </right>
                <top style="thin">
                  <color theme="0"/>
                </top>
                <bottom style="thin">
                  <color theme="0"/>
                </bottom>
                <vertical/>
                <horizontal/>
              </border>
            </x14:dxf>
          </x14:cfRule>
          <xm:sqref>N210:S210</xm:sqref>
        </x14:conditionalFormatting>
        <x14:conditionalFormatting xmlns:xm="http://schemas.microsoft.com/office/excel/2006/main">
          <x14:cfRule type="expression" priority="204" id="{8DB40213-10E0-4BB8-975A-AF5FE67EBC1E}">
            <xm:f>$Z$8='Assessment Details'!$Q$23</xm:f>
            <x14:dxf>
              <font>
                <color theme="0"/>
              </font>
              <fill>
                <patternFill>
                  <bgColor theme="0"/>
                </patternFill>
              </fill>
            </x14:dxf>
          </x14:cfRule>
          <xm:sqref>U210:Z210</xm:sqref>
        </x14:conditionalFormatting>
        <x14:conditionalFormatting xmlns:xm="http://schemas.microsoft.com/office/excel/2006/main">
          <x14:cfRule type="expression" priority="205" id="{4FA11FC5-2EBF-4443-A1BE-F1DD9B51321A}">
            <xm:f>$Z$8='Assessment Details'!$Q$23</xm:f>
            <x14:dxf>
              <border>
                <left style="thin">
                  <color theme="0"/>
                </left>
                <right style="thin">
                  <color theme="0"/>
                </right>
                <top style="thin">
                  <color theme="0"/>
                </top>
                <bottom style="thin">
                  <color theme="0"/>
                </bottom>
                <vertical/>
                <horizontal/>
              </border>
            </x14:dxf>
          </x14:cfRule>
          <xm:sqref>U210:Z210</xm:sqref>
        </x14:conditionalFormatting>
        <x14:conditionalFormatting xmlns:xm="http://schemas.microsoft.com/office/excel/2006/main">
          <x14:cfRule type="expression" priority="139" id="{B4C9156D-5484-4C85-A329-B50BC81B0CA6}">
            <xm:f>$S$8='Assessment Details'!$Q$23</xm:f>
            <x14:dxf>
              <font>
                <color theme="0"/>
              </font>
              <fill>
                <patternFill>
                  <bgColor theme="0"/>
                </patternFill>
              </fill>
              <border>
                <vertical/>
                <horizontal/>
              </border>
            </x14:dxf>
          </x14:cfRule>
          <xm:sqref>N209:S209</xm:sqref>
        </x14:conditionalFormatting>
        <x14:conditionalFormatting xmlns:xm="http://schemas.microsoft.com/office/excel/2006/main">
          <x14:cfRule type="expression" priority="138" id="{3CCA4A0F-7AEA-4F04-B887-0EED96879A3A}">
            <xm:f>$S$8='Assessment Details'!$Q$23</xm:f>
            <x14:dxf>
              <border>
                <left style="thin">
                  <color theme="0"/>
                </left>
                <right style="thin">
                  <color theme="0"/>
                </right>
                <top style="thin">
                  <color theme="0"/>
                </top>
                <bottom style="thin">
                  <color theme="0"/>
                </bottom>
                <vertical/>
                <horizontal/>
              </border>
            </x14:dxf>
          </x14:cfRule>
          <xm:sqref>N209:S209</xm:sqref>
        </x14:conditionalFormatting>
        <x14:conditionalFormatting xmlns:xm="http://schemas.microsoft.com/office/excel/2006/main">
          <x14:cfRule type="expression" priority="153" id="{703E1FBF-3B26-4E3A-8C8D-EF6DAF2769D1}">
            <xm:f>$Z$8='Assessment Details'!$Q$23</xm:f>
            <x14:dxf>
              <font>
                <color theme="0"/>
              </font>
              <fill>
                <patternFill>
                  <bgColor theme="0"/>
                </patternFill>
              </fill>
            </x14:dxf>
          </x14:cfRule>
          <xm:sqref>U209:Z209</xm:sqref>
        </x14:conditionalFormatting>
        <x14:conditionalFormatting xmlns:xm="http://schemas.microsoft.com/office/excel/2006/main">
          <x14:cfRule type="expression" priority="154" id="{D88F92AB-A965-4BC7-97E8-AF125E66C6FB}">
            <xm:f>$Z$8='Assessment Details'!$Q$23</xm:f>
            <x14:dxf>
              <border>
                <left style="thin">
                  <color theme="0"/>
                </left>
                <right style="thin">
                  <color theme="0"/>
                </right>
                <top style="thin">
                  <color theme="0"/>
                </top>
                <bottom style="thin">
                  <color theme="0"/>
                </bottom>
                <vertical/>
                <horizontal/>
              </border>
            </x14:dxf>
          </x14:cfRule>
          <xm:sqref>U209:Z209</xm:sqref>
        </x14:conditionalFormatting>
        <x14:conditionalFormatting xmlns:xm="http://schemas.microsoft.com/office/excel/2006/main">
          <x14:cfRule type="expression" priority="122" id="{C45035BF-5A91-4958-AE9C-24FEBAB4A100}">
            <xm:f>$S$8='Assessment Details'!$Q$23</xm:f>
            <x14:dxf>
              <font>
                <color theme="0"/>
              </font>
              <fill>
                <patternFill>
                  <bgColor theme="0"/>
                </patternFill>
              </fill>
              <border>
                <vertical/>
                <horizontal/>
              </border>
            </x14:dxf>
          </x14:cfRule>
          <xm:sqref>N208:S208</xm:sqref>
        </x14:conditionalFormatting>
        <x14:conditionalFormatting xmlns:xm="http://schemas.microsoft.com/office/excel/2006/main">
          <x14:cfRule type="expression" priority="121" id="{91867CCB-12BA-46AA-A3BA-FE85BD8D3FFF}">
            <xm:f>$S$8='Assessment Details'!$Q$23</xm:f>
            <x14:dxf>
              <border>
                <left style="thin">
                  <color theme="0"/>
                </left>
                <right style="thin">
                  <color theme="0"/>
                </right>
                <top style="thin">
                  <color theme="0"/>
                </top>
                <bottom style="thin">
                  <color theme="0"/>
                </bottom>
                <vertical/>
                <horizontal/>
              </border>
            </x14:dxf>
          </x14:cfRule>
          <xm:sqref>N208:S208</xm:sqref>
        </x14:conditionalFormatting>
        <x14:conditionalFormatting xmlns:xm="http://schemas.microsoft.com/office/excel/2006/main">
          <x14:cfRule type="expression" priority="120" id="{3EEB2744-C09A-4B21-942E-2E8AFADE296C}">
            <xm:f>$S$8='Assessment Details'!$Q$23</xm:f>
            <x14:dxf>
              <font>
                <color theme="0"/>
              </font>
              <fill>
                <patternFill>
                  <bgColor theme="0"/>
                </patternFill>
              </fill>
              <border>
                <vertical/>
                <horizontal/>
              </border>
            </x14:dxf>
          </x14:cfRule>
          <xm:sqref>G208</xm:sqref>
        </x14:conditionalFormatting>
        <x14:conditionalFormatting xmlns:xm="http://schemas.microsoft.com/office/excel/2006/main">
          <x14:cfRule type="expression" priority="119" id="{9FCDED50-49C0-4E16-9FA5-DE4D7BFDAA9E}">
            <xm:f>$S$8='Assessment Details'!$Q$23</xm:f>
            <x14:dxf>
              <border>
                <left style="thin">
                  <color theme="0"/>
                </left>
                <right style="thin">
                  <color theme="0"/>
                </right>
                <top style="thin">
                  <color theme="0"/>
                </top>
                <bottom style="thin">
                  <color theme="0"/>
                </bottom>
                <vertical/>
                <horizontal/>
              </border>
            </x14:dxf>
          </x14:cfRule>
          <xm:sqref>G208</xm:sqref>
        </x14:conditionalFormatting>
        <x14:conditionalFormatting xmlns:xm="http://schemas.microsoft.com/office/excel/2006/main">
          <x14:cfRule type="expression" priority="118" id="{C76EDFE4-027C-4B51-AA40-A98000EFB61A}">
            <xm:f>$S$8='Assessment Details'!$Q$23</xm:f>
            <x14:dxf>
              <font>
                <color theme="0"/>
              </font>
              <fill>
                <patternFill>
                  <bgColor theme="0"/>
                </patternFill>
              </fill>
              <border>
                <vertical/>
                <horizontal/>
              </border>
            </x14:dxf>
          </x14:cfRule>
          <xm:sqref>U208</xm:sqref>
        </x14:conditionalFormatting>
        <x14:conditionalFormatting xmlns:xm="http://schemas.microsoft.com/office/excel/2006/main">
          <x14:cfRule type="expression" priority="117" id="{2C1A8F4E-C427-4F32-B439-0096900E19B2}">
            <xm:f>$S$8='Assessment Details'!$Q$23</xm:f>
            <x14:dxf>
              <border>
                <left style="thin">
                  <color theme="0"/>
                </left>
                <right style="thin">
                  <color theme="0"/>
                </right>
                <top style="thin">
                  <color theme="0"/>
                </top>
                <bottom style="thin">
                  <color theme="0"/>
                </bottom>
                <vertical/>
                <horizontal/>
              </border>
            </x14:dxf>
          </x14:cfRule>
          <xm:sqref>U208</xm:sqref>
        </x14:conditionalFormatting>
        <x14:conditionalFormatting xmlns:xm="http://schemas.microsoft.com/office/excel/2006/main">
          <x14:cfRule type="expression" priority="116" id="{9821B401-6F4E-41BC-9E66-6179692703F1}">
            <xm:f>$S$8='Assessment Details'!$Q$23</xm:f>
            <x14:dxf>
              <font>
                <color theme="0"/>
              </font>
              <fill>
                <patternFill>
                  <bgColor theme="0"/>
                </patternFill>
              </fill>
              <border>
                <vertical/>
                <horizontal/>
              </border>
            </x14:dxf>
          </x14:cfRule>
          <xm:sqref>W208</xm:sqref>
        </x14:conditionalFormatting>
        <x14:conditionalFormatting xmlns:xm="http://schemas.microsoft.com/office/excel/2006/main">
          <x14:cfRule type="expression" priority="115" id="{A19F9CE4-E873-4015-AF18-A26C21D39185}">
            <xm:f>$S$8='Assessment Details'!$Q$23</xm:f>
            <x14:dxf>
              <border>
                <left style="thin">
                  <color theme="0"/>
                </left>
                <right style="thin">
                  <color theme="0"/>
                </right>
                <top style="thin">
                  <color theme="0"/>
                </top>
                <bottom style="thin">
                  <color theme="0"/>
                </bottom>
                <vertical/>
                <horizontal/>
              </border>
            </x14:dxf>
          </x14:cfRule>
          <xm:sqref>W208</xm:sqref>
        </x14:conditionalFormatting>
        <x14:conditionalFormatting xmlns:xm="http://schemas.microsoft.com/office/excel/2006/main">
          <x14:cfRule type="expression" priority="136" id="{6AE94490-DB72-4C1A-BDB5-1F85B59CCE8C}">
            <xm:f>$Z$8='Assessment Details'!$Q$23</xm:f>
            <x14:dxf>
              <font>
                <color theme="0"/>
              </font>
              <fill>
                <patternFill>
                  <bgColor theme="0"/>
                </patternFill>
              </fill>
            </x14:dxf>
          </x14:cfRule>
          <xm:sqref>U208:Z208</xm:sqref>
        </x14:conditionalFormatting>
        <x14:conditionalFormatting xmlns:xm="http://schemas.microsoft.com/office/excel/2006/main">
          <x14:cfRule type="expression" priority="137" id="{242E11D8-17FB-4ADC-9E13-5E1A900AFD0A}">
            <xm:f>$Z$8='Assessment Details'!$Q$23</xm:f>
            <x14:dxf>
              <border>
                <left style="thin">
                  <color theme="0"/>
                </left>
                <right style="thin">
                  <color theme="0"/>
                </right>
                <top style="thin">
                  <color theme="0"/>
                </top>
                <bottom style="thin">
                  <color theme="0"/>
                </bottom>
                <vertical/>
                <horizontal/>
              </border>
            </x14:dxf>
          </x14:cfRule>
          <xm:sqref>U208:Z208</xm:sqref>
        </x14:conditionalFormatting>
        <x14:conditionalFormatting xmlns:xm="http://schemas.microsoft.com/office/excel/2006/main">
          <x14:cfRule type="expression" priority="99" id="{18C17D5F-FF52-4287-B3D6-A093652692AB}">
            <xm:f>$S$8='Assessment Details'!$Q$23</xm:f>
            <x14:dxf>
              <font>
                <color theme="0"/>
              </font>
              <fill>
                <patternFill>
                  <bgColor theme="0"/>
                </patternFill>
              </fill>
              <border>
                <vertical/>
                <horizontal/>
              </border>
            </x14:dxf>
          </x14:cfRule>
          <xm:sqref>N225:S225</xm:sqref>
        </x14:conditionalFormatting>
        <x14:conditionalFormatting xmlns:xm="http://schemas.microsoft.com/office/excel/2006/main">
          <x14:cfRule type="expression" priority="98" id="{5FFEFA1A-7C4A-4F4E-941D-8B78E972BCF0}">
            <xm:f>$S$8='Assessment Details'!$Q$23</xm:f>
            <x14:dxf>
              <border>
                <left style="thin">
                  <color theme="0"/>
                </left>
                <right style="thin">
                  <color theme="0"/>
                </right>
                <top style="thin">
                  <color theme="0"/>
                </top>
                <bottom style="thin">
                  <color theme="0"/>
                </bottom>
                <vertical/>
                <horizontal/>
              </border>
            </x14:dxf>
          </x14:cfRule>
          <xm:sqref>N225:S225</xm:sqref>
        </x14:conditionalFormatting>
        <x14:conditionalFormatting xmlns:xm="http://schemas.microsoft.com/office/excel/2006/main">
          <x14:cfRule type="expression" priority="97" id="{E345E5F1-5990-47E9-9094-B1CBC3834D9D}">
            <xm:f>$S$8='Assessment Details'!$Q$23</xm:f>
            <x14:dxf>
              <font>
                <color theme="0"/>
              </font>
              <fill>
                <patternFill>
                  <bgColor theme="0"/>
                </patternFill>
              </fill>
              <border>
                <vertical/>
                <horizontal/>
              </border>
            </x14:dxf>
          </x14:cfRule>
          <xm:sqref>G225</xm:sqref>
        </x14:conditionalFormatting>
        <x14:conditionalFormatting xmlns:xm="http://schemas.microsoft.com/office/excel/2006/main">
          <x14:cfRule type="expression" priority="96" id="{C0C8BA82-EC28-421A-8056-5C2BF2356772}">
            <xm:f>$S$8='Assessment Details'!$Q$23</xm:f>
            <x14:dxf>
              <border>
                <left style="thin">
                  <color theme="0"/>
                </left>
                <right style="thin">
                  <color theme="0"/>
                </right>
                <top style="thin">
                  <color theme="0"/>
                </top>
                <bottom style="thin">
                  <color theme="0"/>
                </bottom>
                <vertical/>
                <horizontal/>
              </border>
            </x14:dxf>
          </x14:cfRule>
          <xm:sqref>G225</xm:sqref>
        </x14:conditionalFormatting>
        <x14:conditionalFormatting xmlns:xm="http://schemas.microsoft.com/office/excel/2006/main">
          <x14:cfRule type="expression" priority="95" id="{F56C039B-D71B-4643-8343-CFB7E58C594E}">
            <xm:f>$S$8='Assessment Details'!$Q$23</xm:f>
            <x14:dxf>
              <font>
                <color theme="0"/>
              </font>
              <fill>
                <patternFill>
                  <bgColor theme="0"/>
                </patternFill>
              </fill>
              <border>
                <vertical/>
                <horizontal/>
              </border>
            </x14:dxf>
          </x14:cfRule>
          <xm:sqref>U225</xm:sqref>
        </x14:conditionalFormatting>
        <x14:conditionalFormatting xmlns:xm="http://schemas.microsoft.com/office/excel/2006/main">
          <x14:cfRule type="expression" priority="94" id="{C647A0D1-E5B7-4612-B088-B17331BD2DDA}">
            <xm:f>$S$8='Assessment Details'!$Q$23</xm:f>
            <x14:dxf>
              <border>
                <left style="thin">
                  <color theme="0"/>
                </left>
                <right style="thin">
                  <color theme="0"/>
                </right>
                <top style="thin">
                  <color theme="0"/>
                </top>
                <bottom style="thin">
                  <color theme="0"/>
                </bottom>
                <vertical/>
                <horizontal/>
              </border>
            </x14:dxf>
          </x14:cfRule>
          <xm:sqref>U225</xm:sqref>
        </x14:conditionalFormatting>
        <x14:conditionalFormatting xmlns:xm="http://schemas.microsoft.com/office/excel/2006/main">
          <x14:cfRule type="expression" priority="93" id="{532D191F-20C9-4562-84C9-B215C7AAC46D}">
            <xm:f>$S$8='Assessment Details'!$Q$23</xm:f>
            <x14:dxf>
              <font>
                <color theme="0"/>
              </font>
              <fill>
                <patternFill>
                  <bgColor theme="0"/>
                </patternFill>
              </fill>
              <border>
                <vertical/>
                <horizontal/>
              </border>
            </x14:dxf>
          </x14:cfRule>
          <xm:sqref>W225</xm:sqref>
        </x14:conditionalFormatting>
        <x14:conditionalFormatting xmlns:xm="http://schemas.microsoft.com/office/excel/2006/main">
          <x14:cfRule type="expression" priority="92" id="{61E96BA4-C5A4-4BD5-9314-CBA069311D17}">
            <xm:f>$S$8='Assessment Details'!$Q$23</xm:f>
            <x14:dxf>
              <border>
                <left style="thin">
                  <color theme="0"/>
                </left>
                <right style="thin">
                  <color theme="0"/>
                </right>
                <top style="thin">
                  <color theme="0"/>
                </top>
                <bottom style="thin">
                  <color theme="0"/>
                </bottom>
                <vertical/>
                <horizontal/>
              </border>
            </x14:dxf>
          </x14:cfRule>
          <xm:sqref>W225</xm:sqref>
        </x14:conditionalFormatting>
        <x14:conditionalFormatting xmlns:xm="http://schemas.microsoft.com/office/excel/2006/main">
          <x14:cfRule type="expression" priority="113" id="{88E3CCDA-6851-41A4-A36B-FA6D410CC159}">
            <xm:f>$Z$8='Assessment Details'!$Q$23</xm:f>
            <x14:dxf>
              <font>
                <color theme="0"/>
              </font>
              <fill>
                <patternFill>
                  <bgColor theme="0"/>
                </patternFill>
              </fill>
            </x14:dxf>
          </x14:cfRule>
          <xm:sqref>U225:Z225</xm:sqref>
        </x14:conditionalFormatting>
        <x14:conditionalFormatting xmlns:xm="http://schemas.microsoft.com/office/excel/2006/main">
          <x14:cfRule type="expression" priority="114" id="{ACEA0EB4-80FF-4A37-B49A-5696F3E0E508}">
            <xm:f>$Z$8='Assessment Details'!$Q$23</xm:f>
            <x14:dxf>
              <border>
                <left style="thin">
                  <color theme="0"/>
                </left>
                <right style="thin">
                  <color theme="0"/>
                </right>
                <top style="thin">
                  <color theme="0"/>
                </top>
                <bottom style="thin">
                  <color theme="0"/>
                </bottom>
                <vertical/>
                <horizontal/>
              </border>
            </x14:dxf>
          </x14:cfRule>
          <xm:sqref>U225:Z225</xm:sqref>
        </x14:conditionalFormatting>
        <x14:conditionalFormatting xmlns:xm="http://schemas.microsoft.com/office/excel/2006/main">
          <x14:cfRule type="expression" priority="76" id="{61E5B49C-C46C-4760-8775-D17375A6EA64}">
            <xm:f>$S$8='Assessment Details'!$Q$23</xm:f>
            <x14:dxf>
              <font>
                <color theme="0"/>
              </font>
              <fill>
                <patternFill>
                  <bgColor theme="0"/>
                </patternFill>
              </fill>
              <border>
                <vertical/>
                <horizontal/>
              </border>
            </x14:dxf>
          </x14:cfRule>
          <xm:sqref>N71:S71</xm:sqref>
        </x14:conditionalFormatting>
        <x14:conditionalFormatting xmlns:xm="http://schemas.microsoft.com/office/excel/2006/main">
          <x14:cfRule type="expression" priority="75" id="{810E491B-9AFD-4625-8A42-75C5974430CC}">
            <xm:f>$S$8='Assessment Details'!$Q$23</xm:f>
            <x14:dxf>
              <border>
                <left style="thin">
                  <color theme="0"/>
                </left>
                <right style="thin">
                  <color theme="0"/>
                </right>
                <top style="thin">
                  <color theme="0"/>
                </top>
                <bottom style="thin">
                  <color theme="0"/>
                </bottom>
                <vertical/>
                <horizontal/>
              </border>
            </x14:dxf>
          </x14:cfRule>
          <xm:sqref>N71:S71</xm:sqref>
        </x14:conditionalFormatting>
        <x14:conditionalFormatting xmlns:xm="http://schemas.microsoft.com/office/excel/2006/main">
          <x14:cfRule type="expression" priority="74" id="{5B0F2C05-53AF-48BB-9D2E-E6F641488715}">
            <xm:f>$S$8='Assessment Details'!$Q$23</xm:f>
            <x14:dxf>
              <font>
                <color theme="0"/>
              </font>
              <fill>
                <patternFill>
                  <bgColor theme="0"/>
                </patternFill>
              </fill>
              <border>
                <vertical/>
                <horizontal/>
              </border>
            </x14:dxf>
          </x14:cfRule>
          <xm:sqref>G71</xm:sqref>
        </x14:conditionalFormatting>
        <x14:conditionalFormatting xmlns:xm="http://schemas.microsoft.com/office/excel/2006/main">
          <x14:cfRule type="expression" priority="73" id="{C1694F0A-0CC1-4742-8E15-EEE575936C27}">
            <xm:f>$S$8='Assessment Details'!$Q$23</xm:f>
            <x14:dxf>
              <border>
                <left style="thin">
                  <color theme="0"/>
                </left>
                <right style="thin">
                  <color theme="0"/>
                </right>
                <top style="thin">
                  <color theme="0"/>
                </top>
                <bottom style="thin">
                  <color theme="0"/>
                </bottom>
                <vertical/>
                <horizontal/>
              </border>
            </x14:dxf>
          </x14:cfRule>
          <xm:sqref>G71</xm:sqref>
        </x14:conditionalFormatting>
        <x14:conditionalFormatting xmlns:xm="http://schemas.microsoft.com/office/excel/2006/main">
          <x14:cfRule type="expression" priority="72" id="{02F370AE-CBFD-4FEB-9312-E8C5A92CFC2D}">
            <xm:f>$S$8='Assessment Details'!$Q$23</xm:f>
            <x14:dxf>
              <font>
                <color theme="0"/>
              </font>
              <fill>
                <patternFill>
                  <bgColor theme="0"/>
                </patternFill>
              </fill>
              <border>
                <vertical/>
                <horizontal/>
              </border>
            </x14:dxf>
          </x14:cfRule>
          <xm:sqref>U71</xm:sqref>
        </x14:conditionalFormatting>
        <x14:conditionalFormatting xmlns:xm="http://schemas.microsoft.com/office/excel/2006/main">
          <x14:cfRule type="expression" priority="71" id="{EFC855BF-B4F0-4B7D-A024-24715073EEDB}">
            <xm:f>$S$8='Assessment Details'!$Q$23</xm:f>
            <x14:dxf>
              <border>
                <left style="thin">
                  <color theme="0"/>
                </left>
                <right style="thin">
                  <color theme="0"/>
                </right>
                <top style="thin">
                  <color theme="0"/>
                </top>
                <bottom style="thin">
                  <color theme="0"/>
                </bottom>
                <vertical/>
                <horizontal/>
              </border>
            </x14:dxf>
          </x14:cfRule>
          <xm:sqref>U71</xm:sqref>
        </x14:conditionalFormatting>
        <x14:conditionalFormatting xmlns:xm="http://schemas.microsoft.com/office/excel/2006/main">
          <x14:cfRule type="expression" priority="66" id="{D93F5BD6-5BC2-4F57-9A8A-0E7FA7B1454F}">
            <xm:f>$S$8='Assessment Details'!$Q$23</xm:f>
            <x14:dxf>
              <font>
                <color theme="0"/>
              </font>
              <fill>
                <patternFill>
                  <bgColor theme="0"/>
                </patternFill>
              </fill>
              <border>
                <vertical/>
                <horizontal/>
              </border>
            </x14:dxf>
          </x14:cfRule>
          <xm:sqref>N71</xm:sqref>
        </x14:conditionalFormatting>
        <x14:conditionalFormatting xmlns:xm="http://schemas.microsoft.com/office/excel/2006/main">
          <x14:cfRule type="expression" priority="65" id="{98AFAECC-EFCA-441C-BBD5-D37816746FD2}">
            <xm:f>$S$8='Assessment Details'!$Q$23</xm:f>
            <x14:dxf>
              <border>
                <left style="thin">
                  <color theme="0"/>
                </left>
                <right style="thin">
                  <color theme="0"/>
                </right>
                <top style="thin">
                  <color theme="0"/>
                </top>
                <bottom style="thin">
                  <color theme="0"/>
                </bottom>
                <vertical/>
                <horizontal/>
              </border>
            </x14:dxf>
          </x14:cfRule>
          <xm:sqref>N71</xm:sqref>
        </x14:conditionalFormatting>
        <x14:conditionalFormatting xmlns:xm="http://schemas.microsoft.com/office/excel/2006/main">
          <x14:cfRule type="expression" priority="60" id="{868D452A-ED94-400D-A800-C21137A74F90}">
            <xm:f>$S$8='Assessment Details'!$Q$23</xm:f>
            <x14:dxf>
              <font>
                <color theme="0"/>
              </font>
              <fill>
                <patternFill>
                  <bgColor theme="0"/>
                </patternFill>
              </fill>
              <border>
                <vertical/>
                <horizontal/>
              </border>
            </x14:dxf>
          </x14:cfRule>
          <xm:sqref>U71</xm:sqref>
        </x14:conditionalFormatting>
        <x14:conditionalFormatting xmlns:xm="http://schemas.microsoft.com/office/excel/2006/main">
          <x14:cfRule type="expression" priority="59" id="{8809E55D-95BE-49EB-AA0B-AB6AD3A6F62A}">
            <xm:f>$S$8='Assessment Details'!$Q$23</xm:f>
            <x14:dxf>
              <border>
                <left style="thin">
                  <color theme="0"/>
                </left>
                <right style="thin">
                  <color theme="0"/>
                </right>
                <top style="thin">
                  <color theme="0"/>
                </top>
                <bottom style="thin">
                  <color theme="0"/>
                </bottom>
                <vertical/>
                <horizontal/>
              </border>
            </x14:dxf>
          </x14:cfRule>
          <xm:sqref>U71</xm:sqref>
        </x14:conditionalFormatting>
        <x14:conditionalFormatting xmlns:xm="http://schemas.microsoft.com/office/excel/2006/main">
          <x14:cfRule type="expression" priority="58" id="{B5218ADE-A98F-4552-9954-EA67E83613FD}">
            <xm:f>$S$8='Assessment Details'!$Q$23</xm:f>
            <x14:dxf>
              <font>
                <color theme="0"/>
              </font>
              <fill>
                <patternFill>
                  <bgColor theme="0"/>
                </patternFill>
              </fill>
              <border>
                <vertical/>
                <horizontal/>
              </border>
            </x14:dxf>
          </x14:cfRule>
          <xm:sqref>W71</xm:sqref>
        </x14:conditionalFormatting>
        <x14:conditionalFormatting xmlns:xm="http://schemas.microsoft.com/office/excel/2006/main">
          <x14:cfRule type="expression" priority="57" id="{9FEFE862-D675-46E4-A129-73376942EEBA}">
            <xm:f>$S$8='Assessment Details'!$Q$23</xm:f>
            <x14:dxf>
              <border>
                <left style="thin">
                  <color theme="0"/>
                </left>
                <right style="thin">
                  <color theme="0"/>
                </right>
                <top style="thin">
                  <color theme="0"/>
                </top>
                <bottom style="thin">
                  <color theme="0"/>
                </bottom>
                <vertical/>
                <horizontal/>
              </border>
            </x14:dxf>
          </x14:cfRule>
          <xm:sqref>W71</xm:sqref>
        </x14:conditionalFormatting>
        <x14:conditionalFormatting xmlns:xm="http://schemas.microsoft.com/office/excel/2006/main">
          <x14:cfRule type="expression" priority="90" id="{68BA5C6D-93A4-482B-B2DC-A71E804CCA45}">
            <xm:f>$Z$8='Assessment Details'!$Q$23</xm:f>
            <x14:dxf>
              <font>
                <color theme="0"/>
              </font>
              <fill>
                <patternFill>
                  <bgColor theme="0"/>
                </patternFill>
              </fill>
            </x14:dxf>
          </x14:cfRule>
          <xm:sqref>U71:Z71</xm:sqref>
        </x14:conditionalFormatting>
        <x14:conditionalFormatting xmlns:xm="http://schemas.microsoft.com/office/excel/2006/main">
          <x14:cfRule type="expression" priority="91" id="{691F0192-A9D9-45B0-9594-40F8E75AB3A5}">
            <xm:f>$Z$8='Assessment Details'!$Q$23</xm:f>
            <x14:dxf>
              <border>
                <left style="thin">
                  <color theme="0"/>
                </left>
                <right style="thin">
                  <color theme="0"/>
                </right>
                <top style="thin">
                  <color theme="0"/>
                </top>
                <bottom style="thin">
                  <color theme="0"/>
                </bottom>
                <vertical/>
                <horizontal/>
              </border>
            </x14:dxf>
          </x14:cfRule>
          <xm:sqref>U71:Z71</xm:sqref>
        </x14:conditionalFormatting>
        <x14:conditionalFormatting xmlns:xm="http://schemas.microsoft.com/office/excel/2006/main">
          <x14:cfRule type="expression" priority="47" id="{A2F61281-5B85-42E8-85ED-C883449C3341}">
            <xm:f>$S$8='Assessment Details'!$Q$23</xm:f>
            <x14:dxf>
              <font>
                <color theme="0"/>
              </font>
              <fill>
                <patternFill>
                  <bgColor theme="0"/>
                </patternFill>
              </fill>
              <border>
                <vertical/>
                <horizontal/>
              </border>
            </x14:dxf>
          </x14:cfRule>
          <xm:sqref>AB40</xm:sqref>
        </x14:conditionalFormatting>
        <x14:conditionalFormatting xmlns:xm="http://schemas.microsoft.com/office/excel/2006/main">
          <x14:cfRule type="expression" priority="46" id="{12B22900-DA56-4FFF-A64C-67EEE6F95F35}">
            <xm:f>$S$8='Assessment Details'!$Q$23</xm:f>
            <x14:dxf>
              <border>
                <left style="thin">
                  <color theme="0"/>
                </left>
                <right style="thin">
                  <color theme="0"/>
                </right>
                <top style="thin">
                  <color theme="0"/>
                </top>
                <bottom style="thin">
                  <color theme="0"/>
                </bottom>
                <vertical/>
                <horizontal/>
              </border>
            </x14:dxf>
          </x14:cfRule>
          <xm:sqref>AB40</xm:sqref>
        </x14:conditionalFormatting>
        <x14:conditionalFormatting xmlns:xm="http://schemas.microsoft.com/office/excel/2006/main">
          <x14:cfRule type="expression" priority="45" id="{CE1CBBD9-B568-4E28-9031-CA6598413DFA}">
            <xm:f>'Pre-Assessment Estimator'!$AJ$4=ais_nei</xm:f>
            <x14:dxf>
              <font>
                <color theme="0"/>
              </font>
              <fill>
                <patternFill>
                  <bgColor theme="0"/>
                </patternFill>
              </fill>
              <border>
                <left/>
                <right/>
                <top/>
                <bottom/>
                <vertical/>
                <horizontal/>
              </border>
            </x14:dxf>
          </x14:cfRule>
          <xm:sqref>AB40</xm:sqref>
        </x14:conditionalFormatting>
        <x14:conditionalFormatting xmlns:xm="http://schemas.microsoft.com/office/excel/2006/main">
          <x14:cfRule type="expression" priority="49" id="{2CE3F685-768F-48E9-BCE1-5113391D8698}">
            <xm:f>$Z$8='Assessment Details'!$Q$23</xm:f>
            <x14:dxf>
              <font>
                <color theme="0"/>
              </font>
              <fill>
                <patternFill>
                  <bgColor theme="0"/>
                </patternFill>
              </fill>
            </x14:dxf>
          </x14:cfRule>
          <xm:sqref>AA40</xm:sqref>
        </x14:conditionalFormatting>
        <x14:conditionalFormatting xmlns:xm="http://schemas.microsoft.com/office/excel/2006/main">
          <x14:cfRule type="expression" priority="50" id="{C73A93A1-430B-4852-895E-2ABF25A4C2F2}">
            <xm:f>$Z$8='Assessment Details'!$Q$23</xm:f>
            <x14:dxf>
              <border>
                <left style="thin">
                  <color theme="0"/>
                </left>
                <right style="thin">
                  <color theme="0"/>
                </right>
                <top style="thin">
                  <color theme="0"/>
                </top>
                <bottom style="thin">
                  <color theme="0"/>
                </bottom>
                <vertical/>
                <horizontal/>
              </border>
            </x14:dxf>
          </x14:cfRule>
          <xm:sqref>AA40</xm:sqref>
        </x14:conditionalFormatting>
        <x14:conditionalFormatting xmlns:xm="http://schemas.microsoft.com/office/excel/2006/main">
          <x14:cfRule type="expression" priority="29" id="{8C3949D9-EB23-440A-BD64-E991ECCD39A7}">
            <xm:f>$S$8='Assessment Details'!$Q$23</xm:f>
            <x14:dxf>
              <font>
                <color theme="0"/>
              </font>
              <fill>
                <patternFill>
                  <bgColor theme="0"/>
                </patternFill>
              </fill>
              <border>
                <vertical/>
                <horizontal/>
              </border>
            </x14:dxf>
          </x14:cfRule>
          <xm:sqref>N40:S40</xm:sqref>
        </x14:conditionalFormatting>
        <x14:conditionalFormatting xmlns:xm="http://schemas.microsoft.com/office/excel/2006/main">
          <x14:cfRule type="expression" priority="28" id="{419C5763-FB56-4025-93E6-A4D10B052749}">
            <xm:f>$S$8='Assessment Details'!$Q$23</xm:f>
            <x14:dxf>
              <border>
                <left style="thin">
                  <color theme="0"/>
                </left>
                <right style="thin">
                  <color theme="0"/>
                </right>
                <top style="thin">
                  <color theme="0"/>
                </top>
                <bottom style="thin">
                  <color theme="0"/>
                </bottom>
                <vertical/>
                <horizontal/>
              </border>
            </x14:dxf>
          </x14:cfRule>
          <xm:sqref>N40:S40</xm:sqref>
        </x14:conditionalFormatting>
        <x14:conditionalFormatting xmlns:xm="http://schemas.microsoft.com/office/excel/2006/main">
          <x14:cfRule type="expression" priority="27" id="{54818CE5-9AE7-42E4-84CF-C5EBE921D49C}">
            <xm:f>$S$8='Assessment Details'!$Q$23</xm:f>
            <x14:dxf>
              <font>
                <color theme="0"/>
              </font>
              <fill>
                <patternFill>
                  <bgColor theme="0"/>
                </patternFill>
              </fill>
              <border>
                <vertical/>
                <horizontal/>
              </border>
            </x14:dxf>
          </x14:cfRule>
          <xm:sqref>G40</xm:sqref>
        </x14:conditionalFormatting>
        <x14:conditionalFormatting xmlns:xm="http://schemas.microsoft.com/office/excel/2006/main">
          <x14:cfRule type="expression" priority="26" id="{AE843E95-EC7F-48D1-A962-E7BD7FF814A7}">
            <xm:f>$S$8='Assessment Details'!$Q$23</xm:f>
            <x14:dxf>
              <border>
                <left style="thin">
                  <color theme="0"/>
                </left>
                <right style="thin">
                  <color theme="0"/>
                </right>
                <top style="thin">
                  <color theme="0"/>
                </top>
                <bottom style="thin">
                  <color theme="0"/>
                </bottom>
                <vertical/>
                <horizontal/>
              </border>
            </x14:dxf>
          </x14:cfRule>
          <xm:sqref>G40</xm:sqref>
        </x14:conditionalFormatting>
        <x14:conditionalFormatting xmlns:xm="http://schemas.microsoft.com/office/excel/2006/main">
          <x14:cfRule type="expression" priority="25" id="{8CB11A7C-3ABF-477E-A02E-F4AC3284107D}">
            <xm:f>$S$8='Assessment Details'!$Q$23</xm:f>
            <x14:dxf>
              <font>
                <color theme="0"/>
              </font>
              <fill>
                <patternFill>
                  <bgColor theme="0"/>
                </patternFill>
              </fill>
              <border>
                <vertical/>
                <horizontal/>
              </border>
            </x14:dxf>
          </x14:cfRule>
          <xm:sqref>U40</xm:sqref>
        </x14:conditionalFormatting>
        <x14:conditionalFormatting xmlns:xm="http://schemas.microsoft.com/office/excel/2006/main">
          <x14:cfRule type="expression" priority="24" id="{C9FA926E-FFF2-4933-98AB-E4B10933A14D}">
            <xm:f>$S$8='Assessment Details'!$Q$23</xm:f>
            <x14:dxf>
              <border>
                <left style="thin">
                  <color theme="0"/>
                </left>
                <right style="thin">
                  <color theme="0"/>
                </right>
                <top style="thin">
                  <color theme="0"/>
                </top>
                <bottom style="thin">
                  <color theme="0"/>
                </bottom>
                <vertical/>
                <horizontal/>
              </border>
            </x14:dxf>
          </x14:cfRule>
          <xm:sqref>U40</xm:sqref>
        </x14:conditionalFormatting>
        <x14:conditionalFormatting xmlns:xm="http://schemas.microsoft.com/office/excel/2006/main">
          <x14:cfRule type="expression" priority="19" id="{B4E0B131-4A0F-467D-84FC-AFE2986E1AD7}">
            <xm:f>$S$8='Assessment Details'!$Q$23</xm:f>
            <x14:dxf>
              <font>
                <color theme="0"/>
              </font>
              <fill>
                <patternFill>
                  <bgColor theme="0"/>
                </patternFill>
              </fill>
              <border>
                <vertical/>
                <horizontal/>
              </border>
            </x14:dxf>
          </x14:cfRule>
          <xm:sqref>N40</xm:sqref>
        </x14:conditionalFormatting>
        <x14:conditionalFormatting xmlns:xm="http://schemas.microsoft.com/office/excel/2006/main">
          <x14:cfRule type="expression" priority="18" id="{D2A937F4-6AD8-4A61-BA35-A3C401979D0C}">
            <xm:f>$S$8='Assessment Details'!$Q$23</xm:f>
            <x14:dxf>
              <border>
                <left style="thin">
                  <color theme="0"/>
                </left>
                <right style="thin">
                  <color theme="0"/>
                </right>
                <top style="thin">
                  <color theme="0"/>
                </top>
                <bottom style="thin">
                  <color theme="0"/>
                </bottom>
                <vertical/>
                <horizontal/>
              </border>
            </x14:dxf>
          </x14:cfRule>
          <xm:sqref>N40</xm:sqref>
        </x14:conditionalFormatting>
        <x14:conditionalFormatting xmlns:xm="http://schemas.microsoft.com/office/excel/2006/main">
          <x14:cfRule type="expression" priority="13" id="{EAD5FDD4-AB6C-47B5-B37A-19F24BF3D229}">
            <xm:f>$S$8='Assessment Details'!$Q$23</xm:f>
            <x14:dxf>
              <font>
                <color theme="0"/>
              </font>
              <fill>
                <patternFill>
                  <bgColor theme="0"/>
                </patternFill>
              </fill>
              <border>
                <vertical/>
                <horizontal/>
              </border>
            </x14:dxf>
          </x14:cfRule>
          <xm:sqref>U40</xm:sqref>
        </x14:conditionalFormatting>
        <x14:conditionalFormatting xmlns:xm="http://schemas.microsoft.com/office/excel/2006/main">
          <x14:cfRule type="expression" priority="12" id="{1B1C70F0-1B2A-47E8-B0B9-500FC7BDA48B}">
            <xm:f>$S$8='Assessment Details'!$Q$23</xm:f>
            <x14:dxf>
              <border>
                <left style="thin">
                  <color theme="0"/>
                </left>
                <right style="thin">
                  <color theme="0"/>
                </right>
                <top style="thin">
                  <color theme="0"/>
                </top>
                <bottom style="thin">
                  <color theme="0"/>
                </bottom>
                <vertical/>
                <horizontal/>
              </border>
            </x14:dxf>
          </x14:cfRule>
          <xm:sqref>U40</xm:sqref>
        </x14:conditionalFormatting>
        <x14:conditionalFormatting xmlns:xm="http://schemas.microsoft.com/office/excel/2006/main">
          <x14:cfRule type="expression" priority="11" id="{AAEA2C86-2AF2-4AFF-B26D-4E71C44468DB}">
            <xm:f>$S$8='Assessment Details'!$Q$23</xm:f>
            <x14:dxf>
              <font>
                <color theme="0"/>
              </font>
              <fill>
                <patternFill>
                  <bgColor theme="0"/>
                </patternFill>
              </fill>
              <border>
                <vertical/>
                <horizontal/>
              </border>
            </x14:dxf>
          </x14:cfRule>
          <xm:sqref>W40</xm:sqref>
        </x14:conditionalFormatting>
        <x14:conditionalFormatting xmlns:xm="http://schemas.microsoft.com/office/excel/2006/main">
          <x14:cfRule type="expression" priority="10" id="{F8A63127-C0F7-442D-948A-6A52989DF2C2}">
            <xm:f>$S$8='Assessment Details'!$Q$23</xm:f>
            <x14:dxf>
              <border>
                <left style="thin">
                  <color theme="0"/>
                </left>
                <right style="thin">
                  <color theme="0"/>
                </right>
                <top style="thin">
                  <color theme="0"/>
                </top>
                <bottom style="thin">
                  <color theme="0"/>
                </bottom>
                <vertical/>
                <horizontal/>
              </border>
            </x14:dxf>
          </x14:cfRule>
          <xm:sqref>W40</xm:sqref>
        </x14:conditionalFormatting>
        <x14:conditionalFormatting xmlns:xm="http://schemas.microsoft.com/office/excel/2006/main">
          <x14:cfRule type="expression" priority="43" id="{00CF1547-2DD6-479C-8D3D-CD630F796C9A}">
            <xm:f>$Z$8='Assessment Details'!$Q$23</xm:f>
            <x14:dxf>
              <font>
                <color theme="0"/>
              </font>
              <fill>
                <patternFill>
                  <bgColor theme="0"/>
                </patternFill>
              </fill>
            </x14:dxf>
          </x14:cfRule>
          <xm:sqref>U40:Z40</xm:sqref>
        </x14:conditionalFormatting>
        <x14:conditionalFormatting xmlns:xm="http://schemas.microsoft.com/office/excel/2006/main">
          <x14:cfRule type="expression" priority="44" id="{F4C47752-AA0B-49C8-8769-54F6FB5C8C05}">
            <xm:f>$Z$8='Assessment Details'!$Q$23</xm:f>
            <x14:dxf>
              <border>
                <left style="thin">
                  <color theme="0"/>
                </left>
                <right style="thin">
                  <color theme="0"/>
                </right>
                <top style="thin">
                  <color theme="0"/>
                </top>
                <bottom style="thin">
                  <color theme="0"/>
                </bottom>
                <vertical/>
                <horizontal/>
              </border>
            </x14:dxf>
          </x14:cfRule>
          <xm:sqref>U40:Z40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R73"/>
  <sheetViews>
    <sheetView zoomScaleNormal="100" workbookViewId="0">
      <selection activeCell="M28" sqref="M28"/>
    </sheetView>
  </sheetViews>
  <sheetFormatPr defaultColWidth="9.140625" defaultRowHeight="15" x14ac:dyDescent="0.25"/>
  <cols>
    <col min="1" max="1" width="2.7109375" style="1" customWidth="1"/>
    <col min="2" max="2" width="17" style="1" bestFit="1" customWidth="1"/>
    <col min="3" max="3" width="15.85546875" style="1" customWidth="1"/>
    <col min="4" max="16" width="9.140625" style="1"/>
    <col min="17" max="17" width="3.140625" style="1" customWidth="1"/>
    <col min="18" max="16384" width="9.140625" style="1"/>
  </cols>
  <sheetData>
    <row r="1" spans="1:18" ht="15" customHeight="1" thickBot="1" x14ac:dyDescent="0.3">
      <c r="B1" s="1370"/>
      <c r="C1" s="1371"/>
      <c r="D1" s="1371"/>
      <c r="E1" s="1371"/>
      <c r="F1" s="1371"/>
      <c r="G1" s="1371"/>
      <c r="H1" s="1371"/>
      <c r="I1" s="1371"/>
      <c r="J1" s="1371"/>
      <c r="K1" s="1371"/>
      <c r="L1" s="1371"/>
    </row>
    <row r="2" spans="1:18" ht="42" customHeight="1" x14ac:dyDescent="0.35">
      <c r="B2" s="1377" t="s">
        <v>971</v>
      </c>
      <c r="C2" s="1378"/>
      <c r="D2" s="1378"/>
      <c r="E2" s="1378"/>
      <c r="F2" s="1378"/>
      <c r="G2" s="1378"/>
      <c r="H2" s="1378"/>
      <c r="I2" s="1378"/>
      <c r="J2" s="1378"/>
      <c r="K2" s="1378"/>
      <c r="L2" s="1378"/>
      <c r="M2" s="588"/>
      <c r="N2" s="589"/>
      <c r="O2" s="589"/>
      <c r="P2" s="634" t="str">
        <f>IF('Manuell filtrering og justering'!I2='Manuell filtrering og justering'!J2,"Bespoke","")</f>
        <v/>
      </c>
    </row>
    <row r="3" spans="1:18" ht="15" customHeight="1" x14ac:dyDescent="0.25">
      <c r="B3" s="590"/>
      <c r="C3" s="591"/>
      <c r="D3" s="591"/>
      <c r="E3" s="591"/>
      <c r="F3" s="591"/>
      <c r="G3" s="591"/>
      <c r="H3" s="591"/>
      <c r="I3" s="591"/>
      <c r="J3" s="591"/>
      <c r="K3" s="591"/>
      <c r="L3" s="591"/>
      <c r="M3" s="3"/>
      <c r="N3" s="3"/>
      <c r="O3" s="3"/>
      <c r="P3" s="592"/>
    </row>
    <row r="4" spans="1:18" ht="15" customHeight="1" x14ac:dyDescent="0.25">
      <c r="B4" s="593" t="s">
        <v>2</v>
      </c>
      <c r="C4" s="593" t="s">
        <v>6</v>
      </c>
      <c r="D4" s="1379" t="s">
        <v>1047</v>
      </c>
      <c r="E4" s="1380"/>
      <c r="F4" s="1380"/>
      <c r="G4" s="1380"/>
      <c r="H4" s="1380"/>
      <c r="I4" s="1380"/>
      <c r="J4" s="1380"/>
      <c r="K4" s="1380"/>
      <c r="L4" s="1380"/>
      <c r="M4" s="1380"/>
      <c r="N4" s="1380"/>
      <c r="O4" s="1380"/>
      <c r="P4" s="1381"/>
    </row>
    <row r="5" spans="1:18" ht="62.25" customHeight="1" x14ac:dyDescent="0.25">
      <c r="B5" s="606" t="s">
        <v>1046</v>
      </c>
      <c r="C5" s="594">
        <v>44736</v>
      </c>
      <c r="D5" s="1374" t="s">
        <v>1051</v>
      </c>
      <c r="E5" s="1375"/>
      <c r="F5" s="1375"/>
      <c r="G5" s="1375"/>
      <c r="H5" s="1375"/>
      <c r="I5" s="1375"/>
      <c r="J5" s="1375"/>
      <c r="K5" s="1375"/>
      <c r="L5" s="1375"/>
      <c r="M5" s="1375"/>
      <c r="N5" s="1375"/>
      <c r="O5" s="1375"/>
      <c r="P5" s="1375"/>
    </row>
    <row r="6" spans="1:18" ht="18.75" customHeight="1" x14ac:dyDescent="0.25">
      <c r="A6" s="3"/>
      <c r="B6" s="595"/>
      <c r="C6" s="596"/>
      <c r="D6" s="597"/>
      <c r="E6" s="597"/>
      <c r="F6" s="597"/>
      <c r="G6" s="597"/>
      <c r="H6" s="597"/>
      <c r="I6" s="597"/>
      <c r="J6" s="597"/>
      <c r="K6" s="597"/>
      <c r="L6" s="597"/>
      <c r="M6" s="597"/>
      <c r="N6" s="598"/>
      <c r="O6" s="598"/>
      <c r="P6" s="598"/>
      <c r="Q6" s="3"/>
      <c r="R6" s="3"/>
    </row>
    <row r="7" spans="1:18" x14ac:dyDescent="0.25">
      <c r="B7" s="599" t="s">
        <v>3</v>
      </c>
      <c r="C7" s="600" t="s">
        <v>6</v>
      </c>
      <c r="D7" s="601" t="s">
        <v>1047</v>
      </c>
      <c r="E7" s="602"/>
      <c r="F7" s="602"/>
      <c r="G7" s="602"/>
      <c r="H7" s="602"/>
      <c r="I7" s="602"/>
      <c r="J7" s="602"/>
      <c r="K7" s="602"/>
      <c r="L7" s="602"/>
      <c r="M7" s="602"/>
      <c r="N7" s="602"/>
      <c r="O7" s="602"/>
      <c r="P7" s="603"/>
    </row>
    <row r="8" spans="1:18" ht="101.25" customHeight="1" x14ac:dyDescent="0.25">
      <c r="B8" s="606" t="s">
        <v>1040</v>
      </c>
      <c r="C8" s="594">
        <v>44673</v>
      </c>
      <c r="D8" s="1374" t="s">
        <v>1041</v>
      </c>
      <c r="E8" s="1375"/>
      <c r="F8" s="1375"/>
      <c r="G8" s="1375"/>
      <c r="H8" s="1375"/>
      <c r="I8" s="1375"/>
      <c r="J8" s="1375"/>
      <c r="K8" s="1375"/>
      <c r="L8" s="1375"/>
      <c r="M8" s="1375"/>
      <c r="N8" s="1375"/>
      <c r="O8" s="1375"/>
      <c r="P8" s="1375"/>
    </row>
    <row r="9" spans="1:18" ht="15" customHeight="1" x14ac:dyDescent="0.25">
      <c r="B9" s="606" t="s">
        <v>1038</v>
      </c>
      <c r="C9" s="594">
        <v>44635</v>
      </c>
      <c r="D9" s="1375" t="s">
        <v>1039</v>
      </c>
      <c r="E9" s="1375"/>
      <c r="F9" s="1375"/>
      <c r="G9" s="1375"/>
      <c r="H9" s="1375"/>
      <c r="I9" s="1375"/>
      <c r="J9" s="1375"/>
      <c r="K9" s="1375"/>
      <c r="L9" s="1375"/>
      <c r="M9" s="1375"/>
      <c r="N9" s="1375"/>
      <c r="O9" s="1375"/>
      <c r="P9" s="1375"/>
    </row>
    <row r="10" spans="1:18" ht="36" customHeight="1" x14ac:dyDescent="0.25">
      <c r="B10" s="606" t="s">
        <v>1023</v>
      </c>
      <c r="C10" s="594">
        <v>44620</v>
      </c>
      <c r="D10" s="1382" t="s">
        <v>1009</v>
      </c>
      <c r="E10" s="1383"/>
      <c r="F10" s="1383"/>
      <c r="G10" s="1383"/>
      <c r="H10" s="1383"/>
      <c r="I10" s="1383"/>
      <c r="J10" s="1383"/>
      <c r="K10" s="1383"/>
      <c r="L10" s="1383"/>
      <c r="M10" s="1383"/>
      <c r="N10" s="1383"/>
      <c r="O10" s="1383"/>
      <c r="P10" s="1384"/>
    </row>
    <row r="11" spans="1:18" x14ac:dyDescent="0.25">
      <c r="B11" s="604"/>
      <c r="C11" s="605"/>
      <c r="D11" s="1367"/>
      <c r="E11" s="1368"/>
      <c r="F11" s="1368"/>
      <c r="G11" s="1368"/>
      <c r="H11" s="1368"/>
      <c r="I11" s="1368"/>
      <c r="J11" s="1368"/>
      <c r="K11" s="1368"/>
      <c r="L11" s="1368"/>
      <c r="M11" s="1368"/>
      <c r="N11" s="1368"/>
      <c r="O11" s="1368"/>
      <c r="P11" s="1368"/>
    </row>
    <row r="12" spans="1:18" x14ac:dyDescent="0.25">
      <c r="B12" s="606"/>
      <c r="C12" s="594"/>
      <c r="D12" s="1376"/>
      <c r="E12" s="1376"/>
      <c r="F12" s="1376"/>
      <c r="G12" s="1376"/>
      <c r="H12" s="1376"/>
      <c r="I12" s="1376"/>
      <c r="J12" s="1376"/>
      <c r="K12" s="1376"/>
      <c r="L12" s="1376"/>
      <c r="M12" s="1376"/>
      <c r="N12" s="1376"/>
      <c r="O12" s="1376"/>
      <c r="P12" s="1376"/>
    </row>
    <row r="13" spans="1:18" x14ac:dyDescent="0.25">
      <c r="B13" s="606"/>
      <c r="C13" s="594"/>
      <c r="D13" s="1372"/>
      <c r="E13" s="1373"/>
      <c r="F13" s="1373"/>
      <c r="G13" s="1373"/>
      <c r="H13" s="1373"/>
      <c r="I13" s="1373"/>
      <c r="J13" s="1373"/>
      <c r="K13" s="1373"/>
      <c r="L13" s="1373"/>
      <c r="M13" s="1373"/>
      <c r="N13" s="1373"/>
      <c r="O13" s="1373"/>
      <c r="P13" s="1373"/>
    </row>
    <row r="14" spans="1:18" x14ac:dyDescent="0.25">
      <c r="B14" s="604"/>
      <c r="C14" s="605"/>
      <c r="D14" s="1369"/>
      <c r="E14" s="1368"/>
      <c r="F14" s="1368"/>
      <c r="G14" s="1368"/>
      <c r="H14" s="1368"/>
      <c r="I14" s="1368"/>
      <c r="J14" s="1368"/>
      <c r="K14" s="1368"/>
      <c r="L14" s="1368"/>
      <c r="M14" s="1368"/>
      <c r="N14" s="1368"/>
      <c r="O14" s="1368"/>
      <c r="P14" s="1368"/>
    </row>
    <row r="15" spans="1:18" x14ac:dyDescent="0.25">
      <c r="B15" s="604"/>
      <c r="C15" s="605"/>
      <c r="D15" s="1369"/>
      <c r="E15" s="1368"/>
      <c r="F15" s="1368"/>
      <c r="G15" s="1368"/>
      <c r="H15" s="1368"/>
      <c r="I15" s="1368"/>
      <c r="J15" s="1368"/>
      <c r="K15" s="1368"/>
      <c r="L15" s="1368"/>
      <c r="M15" s="1368"/>
      <c r="N15" s="1368"/>
      <c r="O15" s="1368"/>
      <c r="P15" s="1368"/>
    </row>
    <row r="16" spans="1:18" x14ac:dyDescent="0.25">
      <c r="B16" s="604"/>
      <c r="C16" s="605"/>
      <c r="D16" s="1367"/>
      <c r="E16" s="1368"/>
      <c r="F16" s="1368"/>
      <c r="G16" s="1368"/>
      <c r="H16" s="1368"/>
      <c r="I16" s="1368"/>
      <c r="J16" s="1368"/>
      <c r="K16" s="1368"/>
      <c r="L16" s="1368"/>
      <c r="M16" s="1368"/>
      <c r="N16" s="1368"/>
      <c r="O16" s="1368"/>
      <c r="P16" s="1368"/>
    </row>
    <row r="17" spans="2:16" ht="13.5" customHeight="1" x14ac:dyDescent="0.25">
      <c r="B17" s="604"/>
      <c r="C17" s="605"/>
      <c r="D17" s="1367"/>
      <c r="E17" s="1368"/>
      <c r="F17" s="1368"/>
      <c r="G17" s="1368"/>
      <c r="H17" s="1368"/>
      <c r="I17" s="1368"/>
      <c r="J17" s="1368"/>
      <c r="K17" s="1368"/>
      <c r="L17" s="1368"/>
      <c r="M17" s="1368"/>
      <c r="N17" s="1368"/>
      <c r="O17" s="1368"/>
      <c r="P17" s="1368"/>
    </row>
    <row r="18" spans="2:16" x14ac:dyDescent="0.25">
      <c r="B18" s="604"/>
      <c r="C18" s="605"/>
      <c r="D18" s="1367"/>
      <c r="E18" s="1368"/>
      <c r="F18" s="1368"/>
      <c r="G18" s="1368"/>
      <c r="H18" s="1368"/>
      <c r="I18" s="1368"/>
      <c r="J18" s="1368"/>
      <c r="K18" s="1368"/>
      <c r="L18" s="1368"/>
      <c r="M18" s="1368"/>
      <c r="N18" s="1368"/>
      <c r="O18" s="1368"/>
      <c r="P18" s="1368"/>
    </row>
    <row r="19" spans="2:16" x14ac:dyDescent="0.25">
      <c r="B19" s="607"/>
      <c r="C19" s="607"/>
      <c r="D19" s="607"/>
      <c r="E19" s="607"/>
      <c r="F19" s="607"/>
      <c r="G19" s="607"/>
      <c r="H19" s="607"/>
      <c r="I19" s="607"/>
      <c r="J19" s="607"/>
      <c r="K19" s="607"/>
      <c r="L19" s="607"/>
      <c r="M19" s="607"/>
      <c r="N19" s="607"/>
      <c r="O19" s="607"/>
      <c r="P19" s="607"/>
    </row>
    <row r="20" spans="2:16" x14ac:dyDescent="0.25">
      <c r="B20" s="607"/>
      <c r="C20" s="607"/>
      <c r="D20" s="607"/>
      <c r="E20" s="607"/>
      <c r="F20" s="607"/>
      <c r="G20" s="607"/>
      <c r="H20" s="607"/>
      <c r="I20" s="607"/>
      <c r="J20" s="607"/>
      <c r="K20" s="607"/>
      <c r="L20" s="607"/>
      <c r="M20" s="607"/>
      <c r="N20" s="607"/>
      <c r="O20" s="607"/>
      <c r="P20" s="607"/>
    </row>
    <row r="21" spans="2:16" x14ac:dyDescent="0.25">
      <c r="B21" s="607"/>
      <c r="C21" s="607"/>
      <c r="D21" s="607"/>
      <c r="E21" s="607"/>
      <c r="F21" s="607"/>
      <c r="G21" s="607"/>
      <c r="H21" s="607"/>
      <c r="I21" s="607"/>
      <c r="J21" s="607"/>
      <c r="K21" s="607"/>
      <c r="L21" s="607"/>
      <c r="M21" s="607"/>
      <c r="N21" s="607"/>
      <c r="O21" s="607"/>
      <c r="P21" s="607"/>
    </row>
    <row r="22" spans="2:16" x14ac:dyDescent="0.25">
      <c r="B22" s="607"/>
      <c r="C22" s="607"/>
      <c r="D22" s="607"/>
      <c r="E22" s="607"/>
      <c r="F22" s="607"/>
      <c r="G22" s="607"/>
      <c r="H22" s="607"/>
      <c r="I22" s="607"/>
      <c r="J22" s="607"/>
      <c r="K22" s="607"/>
      <c r="L22" s="607"/>
      <c r="M22" s="607"/>
      <c r="N22" s="607"/>
      <c r="O22" s="607"/>
      <c r="P22" s="607"/>
    </row>
    <row r="23" spans="2:16" x14ac:dyDescent="0.25">
      <c r="B23" s="607"/>
      <c r="C23" s="607"/>
      <c r="D23" s="607"/>
      <c r="E23" s="607"/>
      <c r="F23" s="607"/>
      <c r="G23" s="607"/>
      <c r="H23" s="607"/>
      <c r="I23" s="607"/>
      <c r="J23" s="607"/>
      <c r="K23" s="607"/>
      <c r="L23" s="607"/>
      <c r="M23" s="607"/>
      <c r="N23" s="607"/>
      <c r="O23" s="607"/>
      <c r="P23" s="607"/>
    </row>
    <row r="24" spans="2:16" x14ac:dyDescent="0.25">
      <c r="B24" s="607"/>
      <c r="C24" s="607"/>
      <c r="D24" s="607"/>
      <c r="E24" s="607"/>
      <c r="F24" s="607"/>
      <c r="G24" s="607"/>
      <c r="H24" s="607"/>
      <c r="I24" s="607"/>
      <c r="J24" s="607"/>
      <c r="K24" s="607"/>
      <c r="L24" s="607"/>
      <c r="M24" s="607"/>
      <c r="N24" s="607"/>
      <c r="O24" s="607"/>
      <c r="P24" s="607"/>
    </row>
    <row r="25" spans="2:16" x14ac:dyDescent="0.25">
      <c r="B25" s="607"/>
      <c r="C25" s="607"/>
      <c r="D25" s="607"/>
      <c r="E25" s="607"/>
      <c r="F25" s="607"/>
      <c r="G25" s="607"/>
      <c r="H25" s="607"/>
      <c r="I25" s="607"/>
      <c r="J25" s="607"/>
      <c r="K25" s="607"/>
      <c r="L25" s="607"/>
      <c r="M25" s="607"/>
      <c r="N25" s="607"/>
      <c r="O25" s="607"/>
      <c r="P25" s="607"/>
    </row>
    <row r="26" spans="2:16" x14ac:dyDescent="0.25">
      <c r="B26" s="607"/>
      <c r="C26" s="607"/>
      <c r="D26" s="607"/>
      <c r="E26" s="607"/>
      <c r="F26" s="607"/>
      <c r="G26" s="607"/>
      <c r="H26" s="607"/>
      <c r="I26" s="607"/>
      <c r="J26" s="607"/>
      <c r="K26" s="607"/>
      <c r="L26" s="607"/>
      <c r="M26" s="607"/>
      <c r="N26" s="607"/>
      <c r="O26" s="607"/>
      <c r="P26" s="607"/>
    </row>
    <row r="27" spans="2:16" x14ac:dyDescent="0.25">
      <c r="B27" s="3"/>
      <c r="C27" s="3"/>
      <c r="D27" s="3"/>
      <c r="E27" s="3"/>
      <c r="F27" s="3"/>
      <c r="G27" s="3"/>
      <c r="H27" s="3"/>
      <c r="I27" s="3"/>
      <c r="J27" s="3"/>
      <c r="K27" s="3"/>
      <c r="L27" s="3"/>
      <c r="M27" s="3"/>
      <c r="N27" s="3"/>
      <c r="O27" s="3"/>
      <c r="P27" s="3"/>
    </row>
    <row r="28" spans="2:16" x14ac:dyDescent="0.25">
      <c r="B28" s="3"/>
      <c r="C28" s="3"/>
      <c r="D28" s="3"/>
      <c r="E28" s="3"/>
      <c r="F28" s="3"/>
      <c r="G28" s="3"/>
      <c r="H28" s="3"/>
      <c r="I28" s="3"/>
      <c r="J28" s="3"/>
      <c r="K28" s="3"/>
      <c r="L28" s="3"/>
      <c r="M28" s="3"/>
      <c r="N28" s="3"/>
      <c r="O28" s="3"/>
      <c r="P28" s="3"/>
    </row>
    <row r="29" spans="2:16" x14ac:dyDescent="0.25">
      <c r="B29" s="3"/>
      <c r="C29" s="3"/>
      <c r="D29" s="3"/>
      <c r="E29" s="3"/>
      <c r="F29" s="3"/>
      <c r="G29" s="3"/>
      <c r="H29" s="3"/>
      <c r="I29" s="3"/>
      <c r="J29" s="3"/>
      <c r="K29" s="3"/>
      <c r="L29" s="3"/>
      <c r="M29" s="3"/>
      <c r="N29" s="3"/>
      <c r="O29" s="3"/>
      <c r="P29" s="3"/>
    </row>
    <row r="30" spans="2:16" x14ac:dyDescent="0.25">
      <c r="B30" s="3"/>
      <c r="C30" s="3"/>
      <c r="D30" s="3"/>
      <c r="E30" s="3"/>
      <c r="F30" s="3"/>
      <c r="G30" s="3"/>
      <c r="H30" s="3"/>
      <c r="I30" s="3"/>
      <c r="J30" s="3"/>
      <c r="K30" s="3"/>
      <c r="L30" s="3"/>
      <c r="M30" s="3"/>
      <c r="N30" s="3"/>
      <c r="O30" s="3"/>
      <c r="P30" s="3"/>
    </row>
    <row r="31" spans="2:16" x14ac:dyDescent="0.25">
      <c r="B31" s="3"/>
      <c r="C31" s="3"/>
      <c r="D31" s="3"/>
      <c r="E31" s="3"/>
      <c r="F31" s="3"/>
      <c r="G31" s="3"/>
      <c r="H31" s="3"/>
      <c r="I31" s="3"/>
      <c r="J31" s="3"/>
      <c r="K31" s="3"/>
      <c r="L31" s="3"/>
      <c r="M31" s="3"/>
      <c r="N31" s="3"/>
      <c r="O31" s="3"/>
      <c r="P31" s="3"/>
    </row>
    <row r="32" spans="2:16" x14ac:dyDescent="0.25">
      <c r="B32" s="3"/>
      <c r="C32" s="3"/>
      <c r="D32" s="3"/>
      <c r="E32" s="3"/>
      <c r="F32" s="3"/>
      <c r="G32" s="3"/>
      <c r="H32" s="3"/>
      <c r="I32" s="3"/>
      <c r="J32" s="3"/>
      <c r="K32" s="3"/>
      <c r="L32" s="3"/>
      <c r="M32" s="3"/>
      <c r="N32" s="3"/>
      <c r="O32" s="3"/>
      <c r="P32" s="3"/>
    </row>
    <row r="33" spans="2:16" x14ac:dyDescent="0.25">
      <c r="B33" s="3"/>
      <c r="C33" s="3"/>
      <c r="D33" s="3"/>
      <c r="E33" s="3"/>
      <c r="F33" s="3"/>
      <c r="G33" s="3"/>
      <c r="H33" s="3"/>
      <c r="I33" s="3"/>
      <c r="J33" s="3"/>
      <c r="K33" s="3"/>
      <c r="L33" s="3"/>
      <c r="M33" s="3"/>
      <c r="N33" s="3"/>
      <c r="O33" s="3"/>
      <c r="P33" s="3"/>
    </row>
    <row r="34" spans="2:16" x14ac:dyDescent="0.25">
      <c r="B34" s="3"/>
      <c r="C34" s="3"/>
      <c r="D34" s="3"/>
      <c r="E34" s="3"/>
      <c r="F34" s="3"/>
      <c r="G34" s="3"/>
      <c r="H34" s="3"/>
      <c r="I34" s="3"/>
      <c r="J34" s="3"/>
      <c r="K34" s="3"/>
      <c r="L34" s="3"/>
      <c r="M34" s="3"/>
      <c r="N34" s="3"/>
      <c r="O34" s="3"/>
      <c r="P34" s="3"/>
    </row>
    <row r="35" spans="2:16" x14ac:dyDescent="0.25">
      <c r="B35" s="3"/>
      <c r="C35" s="3"/>
      <c r="D35" s="3"/>
      <c r="E35" s="3"/>
      <c r="F35" s="3"/>
      <c r="G35" s="3"/>
      <c r="H35" s="3"/>
      <c r="I35" s="3"/>
      <c r="J35" s="3"/>
      <c r="K35" s="3"/>
      <c r="L35" s="3"/>
      <c r="M35" s="3"/>
      <c r="N35" s="3"/>
      <c r="O35" s="3"/>
      <c r="P35" s="3"/>
    </row>
    <row r="36" spans="2:16" x14ac:dyDescent="0.25">
      <c r="B36" s="3"/>
      <c r="C36" s="3"/>
      <c r="D36" s="3"/>
      <c r="E36" s="3"/>
      <c r="F36" s="3"/>
      <c r="G36" s="3"/>
      <c r="H36" s="3"/>
      <c r="I36" s="3"/>
      <c r="J36" s="3"/>
      <c r="K36" s="3"/>
      <c r="L36" s="3"/>
      <c r="M36" s="3"/>
      <c r="N36" s="3"/>
      <c r="O36" s="3"/>
      <c r="P36" s="3"/>
    </row>
    <row r="37" spans="2:16" x14ac:dyDescent="0.25">
      <c r="B37" s="3"/>
      <c r="C37" s="3"/>
      <c r="D37" s="3"/>
      <c r="E37" s="3"/>
      <c r="F37" s="3"/>
      <c r="G37" s="3"/>
      <c r="H37" s="3"/>
      <c r="I37" s="3"/>
      <c r="J37" s="3"/>
      <c r="K37" s="3"/>
      <c r="L37" s="3"/>
      <c r="M37" s="3"/>
      <c r="N37" s="3"/>
      <c r="O37" s="3"/>
      <c r="P37" s="3"/>
    </row>
    <row r="38" spans="2:16" x14ac:dyDescent="0.25">
      <c r="B38" s="3"/>
      <c r="C38" s="3"/>
      <c r="D38" s="3"/>
      <c r="E38" s="3"/>
      <c r="F38" s="3"/>
      <c r="G38" s="3"/>
      <c r="H38" s="3"/>
      <c r="I38" s="3"/>
      <c r="J38" s="3"/>
      <c r="K38" s="3"/>
      <c r="L38" s="3"/>
      <c r="M38" s="3"/>
      <c r="N38" s="3"/>
      <c r="O38" s="3"/>
      <c r="P38" s="3"/>
    </row>
    <row r="39" spans="2:16" x14ac:dyDescent="0.25">
      <c r="B39" s="3"/>
      <c r="C39" s="3"/>
      <c r="D39" s="3"/>
      <c r="E39" s="3"/>
      <c r="F39" s="3"/>
      <c r="G39" s="3"/>
      <c r="H39" s="3"/>
      <c r="I39" s="3"/>
      <c r="J39" s="3"/>
      <c r="K39" s="3"/>
      <c r="L39" s="3"/>
      <c r="M39" s="3"/>
      <c r="N39" s="3"/>
      <c r="O39" s="3"/>
      <c r="P39" s="3"/>
    </row>
    <row r="40" spans="2:16" x14ac:dyDescent="0.25">
      <c r="B40" s="3"/>
      <c r="C40" s="3"/>
      <c r="D40" s="3"/>
      <c r="E40" s="3"/>
      <c r="F40" s="3"/>
      <c r="G40" s="3"/>
      <c r="H40" s="3"/>
      <c r="I40" s="3"/>
      <c r="J40" s="3"/>
      <c r="K40" s="3"/>
      <c r="L40" s="3"/>
      <c r="M40" s="3"/>
      <c r="N40" s="3"/>
      <c r="O40" s="3"/>
      <c r="P40" s="3"/>
    </row>
    <row r="41" spans="2:16" x14ac:dyDescent="0.25">
      <c r="B41" s="3"/>
      <c r="C41" s="3"/>
      <c r="D41" s="3"/>
      <c r="E41" s="3"/>
      <c r="F41" s="3"/>
      <c r="G41" s="3"/>
      <c r="H41" s="3"/>
      <c r="I41" s="3"/>
      <c r="J41" s="3"/>
      <c r="K41" s="3"/>
      <c r="L41" s="3"/>
      <c r="M41" s="3"/>
      <c r="N41" s="3"/>
      <c r="O41" s="3"/>
      <c r="P41" s="3"/>
    </row>
    <row r="42" spans="2:16" x14ac:dyDescent="0.25">
      <c r="B42" s="3"/>
      <c r="C42" s="3"/>
      <c r="D42" s="3"/>
      <c r="E42" s="3"/>
      <c r="F42" s="3"/>
      <c r="G42" s="3"/>
      <c r="H42" s="3"/>
      <c r="I42" s="3"/>
      <c r="J42" s="3"/>
      <c r="K42" s="3"/>
      <c r="L42" s="3"/>
      <c r="M42" s="3"/>
      <c r="N42" s="3"/>
      <c r="O42" s="3"/>
      <c r="P42" s="3"/>
    </row>
    <row r="43" spans="2:16" x14ac:dyDescent="0.25">
      <c r="B43" s="3"/>
      <c r="C43" s="3"/>
      <c r="D43" s="3"/>
      <c r="E43" s="3"/>
      <c r="F43" s="3"/>
      <c r="G43" s="3"/>
      <c r="H43" s="3"/>
      <c r="I43" s="3"/>
      <c r="J43" s="3"/>
      <c r="K43" s="3"/>
      <c r="L43" s="3"/>
      <c r="M43" s="3"/>
      <c r="N43" s="3"/>
      <c r="O43" s="3"/>
      <c r="P43" s="3"/>
    </row>
    <row r="44" spans="2:16" x14ac:dyDescent="0.25">
      <c r="B44" s="3"/>
      <c r="C44" s="3"/>
      <c r="D44" s="3"/>
      <c r="E44" s="3"/>
      <c r="F44" s="3"/>
      <c r="G44" s="3"/>
      <c r="H44" s="3"/>
      <c r="I44" s="3"/>
      <c r="J44" s="3"/>
      <c r="K44" s="3"/>
      <c r="L44" s="3"/>
      <c r="M44" s="3"/>
      <c r="N44" s="3"/>
      <c r="O44" s="3"/>
      <c r="P44" s="3"/>
    </row>
    <row r="45" spans="2:16" x14ac:dyDescent="0.25">
      <c r="B45" s="3"/>
      <c r="C45" s="3"/>
      <c r="D45" s="3"/>
      <c r="E45" s="3"/>
      <c r="F45" s="3"/>
      <c r="G45" s="3"/>
      <c r="H45" s="3"/>
      <c r="I45" s="3"/>
      <c r="J45" s="3"/>
      <c r="K45" s="3"/>
      <c r="L45" s="3"/>
      <c r="M45" s="3"/>
      <c r="N45" s="3"/>
      <c r="O45" s="3"/>
      <c r="P45" s="3"/>
    </row>
    <row r="46" spans="2:16" x14ac:dyDescent="0.25">
      <c r="B46" s="3"/>
      <c r="C46" s="3"/>
      <c r="D46" s="3"/>
      <c r="E46" s="3"/>
      <c r="F46" s="3"/>
      <c r="G46" s="3"/>
      <c r="H46" s="3"/>
      <c r="I46" s="3"/>
      <c r="J46" s="3"/>
      <c r="K46" s="3"/>
      <c r="L46" s="3"/>
      <c r="M46" s="3"/>
      <c r="N46" s="3"/>
      <c r="O46" s="3"/>
      <c r="P46" s="3"/>
    </row>
    <row r="47" spans="2:16" x14ac:dyDescent="0.25">
      <c r="B47" s="3"/>
      <c r="C47" s="3"/>
      <c r="D47" s="3"/>
      <c r="E47" s="3"/>
      <c r="F47" s="3"/>
      <c r="G47" s="3"/>
      <c r="H47" s="3"/>
      <c r="I47" s="3"/>
      <c r="J47" s="3"/>
      <c r="K47" s="3"/>
      <c r="L47" s="3"/>
      <c r="M47" s="3"/>
      <c r="N47" s="3"/>
      <c r="O47" s="3"/>
      <c r="P47" s="3"/>
    </row>
    <row r="48" spans="2:16" x14ac:dyDescent="0.25">
      <c r="B48" s="3"/>
      <c r="C48" s="3"/>
      <c r="D48" s="3"/>
      <c r="E48" s="3"/>
      <c r="F48" s="3"/>
      <c r="G48" s="3"/>
      <c r="H48" s="3"/>
      <c r="I48" s="3"/>
      <c r="J48" s="3"/>
      <c r="K48" s="3"/>
      <c r="L48" s="3"/>
      <c r="M48" s="3"/>
      <c r="N48" s="3"/>
      <c r="O48" s="3"/>
      <c r="P48" s="3"/>
    </row>
    <row r="49" spans="2:16" x14ac:dyDescent="0.25">
      <c r="B49" s="3"/>
      <c r="C49" s="3"/>
      <c r="D49" s="3"/>
      <c r="E49" s="3"/>
      <c r="F49" s="3"/>
      <c r="G49" s="3"/>
      <c r="H49" s="3"/>
      <c r="I49" s="3"/>
      <c r="J49" s="3"/>
      <c r="K49" s="3"/>
      <c r="L49" s="3"/>
      <c r="M49" s="3"/>
      <c r="N49" s="3"/>
      <c r="O49" s="3"/>
      <c r="P49" s="3"/>
    </row>
    <row r="50" spans="2:16" x14ac:dyDescent="0.25">
      <c r="B50" s="3"/>
      <c r="C50" s="3"/>
      <c r="D50" s="3"/>
      <c r="E50" s="3"/>
      <c r="F50" s="3"/>
      <c r="G50" s="3"/>
      <c r="H50" s="3"/>
      <c r="I50" s="3"/>
      <c r="J50" s="3"/>
      <c r="K50" s="3"/>
      <c r="L50" s="3"/>
      <c r="M50" s="3"/>
      <c r="N50" s="3"/>
      <c r="O50" s="3"/>
      <c r="P50" s="3"/>
    </row>
    <row r="51" spans="2:16" x14ac:dyDescent="0.25">
      <c r="B51" s="3"/>
      <c r="C51" s="3"/>
      <c r="D51" s="3"/>
      <c r="E51" s="3"/>
      <c r="F51" s="3"/>
      <c r="G51" s="3"/>
      <c r="H51" s="3"/>
      <c r="I51" s="3"/>
      <c r="J51" s="3"/>
      <c r="K51" s="3"/>
      <c r="L51" s="3"/>
      <c r="M51" s="3"/>
      <c r="N51" s="3"/>
      <c r="O51" s="3"/>
      <c r="P51" s="3"/>
    </row>
    <row r="52" spans="2:16" x14ac:dyDescent="0.25">
      <c r="B52" s="3"/>
      <c r="C52" s="3"/>
      <c r="D52" s="3"/>
      <c r="E52" s="3"/>
      <c r="F52" s="3"/>
      <c r="G52" s="3"/>
      <c r="H52" s="3"/>
      <c r="I52" s="3"/>
      <c r="J52" s="3"/>
      <c r="K52" s="3"/>
      <c r="L52" s="3"/>
      <c r="M52" s="3"/>
      <c r="N52" s="3"/>
      <c r="O52" s="3"/>
      <c r="P52" s="3"/>
    </row>
    <row r="53" spans="2:16" x14ac:dyDescent="0.25">
      <c r="B53" s="3"/>
      <c r="C53" s="3"/>
      <c r="D53" s="3"/>
      <c r="E53" s="3"/>
      <c r="F53" s="3"/>
      <c r="G53" s="3"/>
      <c r="H53" s="3"/>
      <c r="I53" s="3"/>
      <c r="J53" s="3"/>
      <c r="K53" s="3"/>
      <c r="L53" s="3"/>
      <c r="M53" s="3"/>
      <c r="N53" s="3"/>
      <c r="O53" s="3"/>
      <c r="P53" s="3"/>
    </row>
    <row r="54" spans="2:16" x14ac:dyDescent="0.25">
      <c r="B54" s="3"/>
      <c r="C54" s="3"/>
      <c r="D54" s="3"/>
      <c r="E54" s="3"/>
      <c r="F54" s="3"/>
      <c r="G54" s="3"/>
      <c r="H54" s="3"/>
      <c r="I54" s="3"/>
      <c r="J54" s="3"/>
      <c r="K54" s="3"/>
      <c r="L54" s="3"/>
      <c r="M54" s="3"/>
      <c r="N54" s="3"/>
      <c r="O54" s="3"/>
      <c r="P54" s="3"/>
    </row>
    <row r="55" spans="2:16" x14ac:dyDescent="0.25">
      <c r="B55" s="3"/>
      <c r="C55" s="3"/>
      <c r="D55" s="3"/>
      <c r="E55" s="3"/>
      <c r="F55" s="3"/>
      <c r="G55" s="3"/>
      <c r="H55" s="3"/>
      <c r="I55" s="3"/>
      <c r="J55" s="3"/>
      <c r="K55" s="3"/>
      <c r="L55" s="3"/>
      <c r="M55" s="3"/>
      <c r="N55" s="3"/>
      <c r="O55" s="3"/>
      <c r="P55" s="3"/>
    </row>
    <row r="56" spans="2:16" x14ac:dyDescent="0.25">
      <c r="B56" s="3"/>
      <c r="C56" s="3"/>
      <c r="D56" s="3"/>
      <c r="E56" s="3"/>
      <c r="F56" s="3"/>
      <c r="G56" s="3"/>
      <c r="H56" s="3"/>
      <c r="I56" s="3"/>
      <c r="J56" s="3"/>
      <c r="K56" s="3"/>
      <c r="L56" s="3"/>
      <c r="M56" s="3"/>
      <c r="N56" s="3"/>
      <c r="O56" s="3"/>
      <c r="P56" s="3"/>
    </row>
    <row r="57" spans="2:16" x14ac:dyDescent="0.25">
      <c r="B57" s="3"/>
      <c r="C57" s="3"/>
      <c r="D57" s="3"/>
      <c r="E57" s="3"/>
      <c r="F57" s="3"/>
      <c r="G57" s="3"/>
      <c r="H57" s="3"/>
      <c r="I57" s="3"/>
      <c r="J57" s="3"/>
      <c r="K57" s="3"/>
      <c r="L57" s="3"/>
      <c r="M57" s="3"/>
      <c r="N57" s="3"/>
      <c r="O57" s="3"/>
      <c r="P57" s="3"/>
    </row>
    <row r="58" spans="2:16" x14ac:dyDescent="0.25">
      <c r="B58" s="3"/>
      <c r="C58" s="3"/>
      <c r="D58" s="3"/>
      <c r="E58" s="3"/>
      <c r="F58" s="3"/>
      <c r="G58" s="3"/>
      <c r="H58" s="3"/>
      <c r="I58" s="3"/>
      <c r="J58" s="3"/>
      <c r="K58" s="3"/>
      <c r="L58" s="3"/>
      <c r="M58" s="3"/>
      <c r="N58" s="3"/>
      <c r="O58" s="3"/>
      <c r="P58" s="3"/>
    </row>
    <row r="59" spans="2:16" x14ac:dyDescent="0.25">
      <c r="B59" s="3"/>
      <c r="C59" s="3"/>
      <c r="D59" s="3"/>
      <c r="E59" s="3"/>
      <c r="F59" s="3"/>
      <c r="G59" s="3"/>
      <c r="H59" s="3"/>
      <c r="I59" s="3"/>
      <c r="J59" s="3"/>
      <c r="K59" s="3"/>
      <c r="L59" s="3"/>
      <c r="M59" s="3"/>
      <c r="N59" s="3"/>
      <c r="O59" s="3"/>
      <c r="P59" s="3"/>
    </row>
    <row r="60" spans="2:16" x14ac:dyDescent="0.25">
      <c r="B60" s="3"/>
      <c r="C60" s="3"/>
      <c r="D60" s="3"/>
      <c r="E60" s="3"/>
      <c r="F60" s="3"/>
      <c r="G60" s="3"/>
      <c r="H60" s="3"/>
      <c r="I60" s="3"/>
      <c r="J60" s="3"/>
      <c r="K60" s="3"/>
      <c r="L60" s="3"/>
      <c r="M60" s="3"/>
      <c r="N60" s="3"/>
      <c r="O60" s="3"/>
      <c r="P60" s="3"/>
    </row>
    <row r="61" spans="2:16" x14ac:dyDescent="0.25">
      <c r="B61" s="3"/>
      <c r="C61" s="3"/>
      <c r="D61" s="3"/>
      <c r="E61" s="3"/>
      <c r="F61" s="3"/>
      <c r="G61" s="3"/>
      <c r="H61" s="3"/>
      <c r="I61" s="3"/>
      <c r="J61" s="3"/>
      <c r="K61" s="3"/>
      <c r="L61" s="3"/>
      <c r="M61" s="3"/>
      <c r="N61" s="3"/>
      <c r="O61" s="3"/>
      <c r="P61" s="3"/>
    </row>
    <row r="62" spans="2:16" x14ac:dyDescent="0.25">
      <c r="B62" s="3"/>
      <c r="C62" s="3"/>
      <c r="D62" s="3"/>
      <c r="E62" s="3"/>
      <c r="F62" s="3"/>
      <c r="G62" s="3"/>
      <c r="H62" s="3"/>
      <c r="I62" s="3"/>
      <c r="J62" s="3"/>
      <c r="K62" s="3"/>
      <c r="L62" s="3"/>
      <c r="M62" s="3"/>
      <c r="N62" s="3"/>
      <c r="O62" s="3"/>
      <c r="P62" s="3"/>
    </row>
    <row r="63" spans="2:16" x14ac:dyDescent="0.25">
      <c r="B63" s="3"/>
      <c r="C63" s="3"/>
      <c r="D63" s="3"/>
      <c r="E63" s="3"/>
      <c r="F63" s="3"/>
      <c r="G63" s="3"/>
      <c r="H63" s="3"/>
      <c r="I63" s="3"/>
      <c r="J63" s="3"/>
      <c r="K63" s="3"/>
      <c r="L63" s="3"/>
      <c r="M63" s="3"/>
      <c r="N63" s="3"/>
      <c r="O63" s="3"/>
      <c r="P63" s="3"/>
    </row>
    <row r="64" spans="2:16" x14ac:dyDescent="0.25">
      <c r="B64" s="3"/>
      <c r="C64" s="3"/>
      <c r="D64" s="3"/>
      <c r="E64" s="3"/>
      <c r="F64" s="3"/>
      <c r="G64" s="3"/>
      <c r="H64" s="3"/>
      <c r="I64" s="3"/>
      <c r="J64" s="3"/>
      <c r="K64" s="3"/>
      <c r="L64" s="3"/>
      <c r="M64" s="3"/>
      <c r="N64" s="3"/>
      <c r="O64" s="3"/>
      <c r="P64" s="3"/>
    </row>
    <row r="65" spans="2:16" x14ac:dyDescent="0.25">
      <c r="B65" s="3"/>
      <c r="C65" s="3"/>
      <c r="D65" s="3"/>
      <c r="E65" s="3"/>
      <c r="F65" s="3"/>
      <c r="G65" s="3"/>
      <c r="H65" s="3"/>
      <c r="I65" s="3"/>
      <c r="J65" s="3"/>
      <c r="K65" s="3"/>
      <c r="L65" s="3"/>
      <c r="M65" s="3"/>
      <c r="N65" s="3"/>
      <c r="O65" s="3"/>
      <c r="P65" s="3"/>
    </row>
    <row r="66" spans="2:16" x14ac:dyDescent="0.25">
      <c r="B66" s="3"/>
      <c r="C66" s="3"/>
      <c r="D66" s="3"/>
      <c r="E66" s="3"/>
      <c r="F66" s="3"/>
      <c r="G66" s="3"/>
      <c r="H66" s="3"/>
      <c r="I66" s="3"/>
      <c r="J66" s="3"/>
      <c r="K66" s="3"/>
      <c r="L66" s="3"/>
      <c r="M66" s="3"/>
      <c r="N66" s="3"/>
      <c r="O66" s="3"/>
      <c r="P66" s="3"/>
    </row>
    <row r="67" spans="2:16" x14ac:dyDescent="0.25">
      <c r="B67" s="3"/>
      <c r="C67" s="3"/>
      <c r="D67" s="3"/>
      <c r="E67" s="3"/>
      <c r="F67" s="3"/>
      <c r="G67" s="3"/>
      <c r="H67" s="3"/>
      <c r="I67" s="3"/>
      <c r="J67" s="3"/>
      <c r="K67" s="3"/>
      <c r="L67" s="3"/>
      <c r="M67" s="3"/>
      <c r="N67" s="3"/>
      <c r="O67" s="3"/>
      <c r="P67" s="3"/>
    </row>
    <row r="68" spans="2:16" x14ac:dyDescent="0.25">
      <c r="B68" s="3"/>
      <c r="C68" s="3"/>
      <c r="D68" s="3"/>
      <c r="E68" s="3"/>
      <c r="F68" s="3"/>
      <c r="G68" s="3"/>
      <c r="H68" s="3"/>
      <c r="I68" s="3"/>
      <c r="J68" s="3"/>
      <c r="K68" s="3"/>
      <c r="L68" s="3"/>
      <c r="M68" s="3"/>
      <c r="N68" s="3"/>
      <c r="O68" s="3"/>
      <c r="P68" s="3"/>
    </row>
    <row r="69" spans="2:16" x14ac:dyDescent="0.25">
      <c r="B69" s="3"/>
      <c r="C69" s="3"/>
      <c r="D69" s="3"/>
      <c r="E69" s="3"/>
      <c r="F69" s="3"/>
      <c r="G69" s="3"/>
      <c r="H69" s="3"/>
      <c r="I69" s="3"/>
      <c r="J69" s="3"/>
      <c r="K69" s="3"/>
      <c r="L69" s="3"/>
      <c r="M69" s="3"/>
      <c r="N69" s="3"/>
      <c r="O69" s="3"/>
      <c r="P69" s="3"/>
    </row>
    <row r="70" spans="2:16" x14ac:dyDescent="0.25">
      <c r="B70" s="3"/>
      <c r="C70" s="3"/>
      <c r="D70" s="3"/>
      <c r="E70" s="3"/>
      <c r="F70" s="3"/>
      <c r="G70" s="3"/>
      <c r="H70" s="3"/>
      <c r="I70" s="3"/>
      <c r="J70" s="3"/>
      <c r="K70" s="3"/>
      <c r="L70" s="3"/>
      <c r="M70" s="3"/>
      <c r="N70" s="3"/>
      <c r="O70" s="3"/>
      <c r="P70" s="3"/>
    </row>
    <row r="71" spans="2:16" x14ac:dyDescent="0.25">
      <c r="B71" s="3"/>
      <c r="C71" s="3"/>
      <c r="D71" s="3"/>
      <c r="E71" s="3"/>
      <c r="F71" s="3"/>
      <c r="G71" s="3"/>
      <c r="H71" s="3"/>
      <c r="I71" s="3"/>
      <c r="J71" s="3"/>
      <c r="K71" s="3"/>
      <c r="L71" s="3"/>
      <c r="M71" s="3"/>
      <c r="N71" s="3"/>
      <c r="O71" s="3"/>
      <c r="P71" s="3"/>
    </row>
    <row r="72" spans="2:16" x14ac:dyDescent="0.25">
      <c r="B72" s="3"/>
      <c r="C72" s="3"/>
      <c r="D72" s="3"/>
      <c r="E72" s="3"/>
      <c r="F72" s="3"/>
      <c r="G72" s="3"/>
      <c r="H72" s="3"/>
      <c r="I72" s="3"/>
      <c r="J72" s="3"/>
      <c r="K72" s="3"/>
      <c r="L72" s="3"/>
      <c r="M72" s="3"/>
      <c r="N72" s="3"/>
      <c r="O72" s="3"/>
      <c r="P72" s="3"/>
    </row>
    <row r="73" spans="2:16" x14ac:dyDescent="0.25">
      <c r="B73" s="3"/>
      <c r="C73" s="3"/>
      <c r="D73" s="3"/>
      <c r="E73" s="3"/>
      <c r="F73" s="3"/>
      <c r="G73" s="3"/>
      <c r="H73" s="3"/>
      <c r="I73" s="3"/>
      <c r="J73" s="3"/>
      <c r="K73" s="3"/>
      <c r="L73" s="3"/>
      <c r="M73" s="3"/>
      <c r="N73" s="3"/>
      <c r="O73" s="3"/>
      <c r="P73" s="3"/>
    </row>
  </sheetData>
  <sheetProtection algorithmName="SHA-512" hashValue="W1kzM5S1IoPx4Tvqo5yTvOodx78Tu2G+Y08TO5inhaaSTpETxzjL+EKHdOAc8msxucyW/GQ2AZPYdjK+qdT4gQ==" saltValue="a+oUjKQ55bOqNhIhl5vENw==" spinCount="100000" sheet="1" objects="1" scenarios="1"/>
  <mergeCells count="15">
    <mergeCell ref="B1:L1"/>
    <mergeCell ref="D13:P13"/>
    <mergeCell ref="D5:P5"/>
    <mergeCell ref="D12:P12"/>
    <mergeCell ref="B2:L2"/>
    <mergeCell ref="D4:P4"/>
    <mergeCell ref="D10:P10"/>
    <mergeCell ref="D9:P9"/>
    <mergeCell ref="D8:P8"/>
    <mergeCell ref="D16:P16"/>
    <mergeCell ref="D17:P17"/>
    <mergeCell ref="D18:P18"/>
    <mergeCell ref="D11:P11"/>
    <mergeCell ref="D15:P15"/>
    <mergeCell ref="D14:P14"/>
  </mergeCells>
  <phoneticPr fontId="22" type="noConversion"/>
  <pageMargins left="0.70866141732283472" right="0.70866141732283472" top="0.74803149606299213" bottom="0.74803149606299213" header="0.31496062992125984" footer="0.31496062992125984"/>
  <pageSetup paperSize="9" scale="8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94fc5000-3977-4bb9-85fe-95b8458bb4bf">605893-383881373-1981</_dlc_DocId>
    <_dlc_DocIdUrl xmlns="94fc5000-3977-4bb9-85fe-95b8458bb4bf">
      <Url>http://bikube/Oppdrag/605893/02/_layouts/15/DocIdRedir.aspx?ID=605893-383881373-1981</Url>
      <Description>605893-383881373-1981</Description>
    </_dlc_DocIdUrl>
    <FraTekst xmlns="8f686a36-9368-4dda-9e9f-a86bde0d326a" xsi:nil="true"/>
    <Revisjon xmlns="8f686a36-9368-4dda-9e9f-a86bde0d326a" xsi:nil="true"/>
    <KopiTekst xmlns="8f686a36-9368-4dda-9e9f-a86bde0d326a" xsi:nil="true"/>
    <Aktivitet xmlns="8f686a36-9368-4dda-9e9f-a86bde0d326a" xsi:nil="true"/>
    <Dokumenttype xmlns="8f686a36-9368-4dda-9e9f-a86bde0d326a">Oppdragsdokument</Dokumenttype>
    <Dokumenttema xmlns="8f686a36-9368-4dda-9e9f-a86bde0d326a" xsi:nil="true"/>
    <TilTekst xmlns="8f686a36-9368-4dda-9e9f-a86bde0d326a" xsi:nil="true"/>
    <RevisjonsDato xmlns="8f686a36-9368-4dda-9e9f-a86bde0d326a" xsi:nil="true"/>
    <Oppdragsnummer xmlns="8f686a36-9368-4dda-9e9f-a86bde0d326a">605893-02</Oppdragsnummer>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73ED8D844509B40B8ED2A4F57557FDF" ma:contentTypeVersion="10" ma:contentTypeDescription="Opprett et nytt dokument." ma:contentTypeScope="" ma:versionID="5a3588df43d0e122934e98f713478315">
  <xsd:schema xmlns:xsd="http://www.w3.org/2001/XMLSchema" xmlns:xs="http://www.w3.org/2001/XMLSchema" xmlns:p="http://schemas.microsoft.com/office/2006/metadata/properties" xmlns:ns2="94fc5000-3977-4bb9-85fe-95b8458bb4bf" xmlns:ns3="8f686a36-9368-4dda-9e9f-a86bde0d326a" targetNamespace="http://schemas.microsoft.com/office/2006/metadata/properties" ma:root="true" ma:fieldsID="5dc860a208286b0380a3671511075df2" ns2:_="" ns3:_="">
    <xsd:import namespace="94fc5000-3977-4bb9-85fe-95b8458bb4bf"/>
    <xsd:import namespace="8f686a36-9368-4dda-9e9f-a86bde0d326a"/>
    <xsd:element name="properties">
      <xsd:complexType>
        <xsd:sequence>
          <xsd:element name="documentManagement">
            <xsd:complexType>
              <xsd:all>
                <xsd:element ref="ns2:_dlc_DocId" minOccurs="0"/>
                <xsd:element ref="ns2:_dlc_DocIdUrl" minOccurs="0"/>
                <xsd:element ref="ns2:_dlc_DocIdPersistId" minOccurs="0"/>
                <xsd:element ref="ns3:Dokumenttype"/>
                <xsd:element ref="ns3:Aktivitet" minOccurs="0"/>
                <xsd:element ref="ns3:Dokumenttema" minOccurs="0"/>
                <xsd:element ref="ns3:Revisjon" minOccurs="0"/>
                <xsd:element ref="ns3:RevisjonsDato" minOccurs="0"/>
                <xsd:element ref="ns3:TilTekst" minOccurs="0"/>
                <xsd:element ref="ns3:FraTekst" minOccurs="0"/>
                <xsd:element ref="ns3:KopiTekst" minOccurs="0"/>
                <xsd:element ref="ns3:SharedWithUsers" minOccurs="0"/>
                <xsd:element ref="ns3:Oppdragsnumm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fc5000-3977-4bb9-85fe-95b8458bb4bf" elementFormDefault="qualified">
    <xsd:import namespace="http://schemas.microsoft.com/office/2006/documentManagement/types"/>
    <xsd:import namespace="http://schemas.microsoft.com/office/infopath/2007/PartnerControls"/>
    <xsd:element name="_dlc_DocId" ma:index="8" nillable="true" ma:displayName="Dokument-ID-verdi" ma:description="Verdien for dokument-IDen som er tilordnet elementet." ma:internalName="_dlc_DocId" ma:readOnly="true">
      <xsd:simpleType>
        <xsd:restriction base="dms:Text"/>
      </xsd:simpleType>
    </xsd:element>
    <xsd:element name="_dlc_DocIdUrl" ma:index="9"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f686a36-9368-4dda-9e9f-a86bde0d326a" elementFormDefault="qualified">
    <xsd:import namespace="http://schemas.microsoft.com/office/2006/documentManagement/types"/>
    <xsd:import namespace="http://schemas.microsoft.com/office/infopath/2007/PartnerControls"/>
    <xsd:element name="Dokumenttype" ma:index="11" ma:displayName="Dokumenttype" ma:default="Oppdragsdokument" ma:internalName="Dokumenttype">
      <xsd:simpleType>
        <xsd:restriction base="dms:Choice">
          <xsd:enumeration value="Oppdragsdokument"/>
          <xsd:enumeration value="Avtale"/>
          <xsd:enumeration value="Kart"/>
          <xsd:enumeration value="Notat"/>
          <xsd:enumeration value="Rapport"/>
          <xsd:enumeration value="Tegning"/>
          <xsd:enumeration value="Tilbud"/>
          <xsd:enumeration value="Brev"/>
          <xsd:enumeration value="Møte"/>
          <xsd:enumeration value="E-post"/>
          <xsd:enumeration value="Sjekkliste"/>
        </xsd:restriction>
      </xsd:simpleType>
    </xsd:element>
    <xsd:element name="Aktivitet" ma:index="12" nillable="true" ma:displayName="Aktivitet" ma:list="{4A005FC5-2181-4245-9789-C7D57B48DB22}" ma:internalName="Aktivitet" ma:showField="Title" ma:web="8f686a36-9368-4dda-9e9f-a86bde0d326a">
      <xsd:simpleType>
        <xsd:restriction base="dms:Lookup"/>
      </xsd:simpleType>
    </xsd:element>
    <xsd:element name="Dokumenttema" ma:index="13" nillable="true" ma:displayName="Dokumenttema" ma:list="{49143DDE-213C-4E8B-A328-CB38FE75E5AB}" ma:internalName="Dokumenttema" ma:showField="Title" ma:web="8f686a36-9368-4dda-9e9f-a86bde0d326a">
      <xsd:simpleType>
        <xsd:restriction base="dms:Lookup"/>
      </xsd:simpleType>
    </xsd:element>
    <xsd:element name="Revisjon" ma:index="14" nillable="true" ma:displayName="Revisjon" ma:internalName="Revisjon">
      <xsd:simpleType>
        <xsd:restriction base="dms:Text">
          <xsd:maxLength value="255"/>
        </xsd:restriction>
      </xsd:simpleType>
    </xsd:element>
    <xsd:element name="RevisjonsDato" ma:index="15" nillable="true" ma:displayName="RevisjonsDato" ma:format="DateOnly" ma:internalName="RevisjonsDato">
      <xsd:simpleType>
        <xsd:restriction base="dms:DateTime"/>
      </xsd:simpleType>
    </xsd:element>
    <xsd:element name="TilTekst" ma:index="16" nillable="true" ma:displayName="Til" ma:internalName="TilTekst">
      <xsd:simpleType>
        <xsd:restriction base="dms:Note">
          <xsd:maxLength value="255"/>
        </xsd:restriction>
      </xsd:simpleType>
    </xsd:element>
    <xsd:element name="FraTekst" ma:index="17" nillable="true" ma:displayName="Fra" ma:internalName="FraTekst">
      <xsd:simpleType>
        <xsd:restriction base="dms:Note">
          <xsd:maxLength value="255"/>
        </xsd:restriction>
      </xsd:simpleType>
    </xsd:element>
    <xsd:element name="KopiTekst" ma:index="18" nillable="true" ma:displayName="Kopi" ma:internalName="KopiTekst">
      <xsd:simpleType>
        <xsd:restriction base="dms:Note">
          <xsd:maxLength value="255"/>
        </xsd:restriction>
      </xsd:simpleType>
    </xsd:element>
    <xsd:element name="SharedWithUsers" ma:index="19"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ppdragsnummer" ma:index="20" nillable="true" ma:displayName="Oppdragsnummer" ma:default="605893-02" ma:internalName="Oppdragsnumm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9D2125B-24D9-472D-B56D-38274035C0C9}">
  <ds:schemaRefs>
    <ds:schemaRef ds:uri="http://schemas.microsoft.com/sharepoint/v3/contenttype/forms"/>
  </ds:schemaRefs>
</ds:datastoreItem>
</file>

<file path=customXml/itemProps2.xml><?xml version="1.0" encoding="utf-8"?>
<ds:datastoreItem xmlns:ds="http://schemas.openxmlformats.org/officeDocument/2006/customXml" ds:itemID="{00F68772-2ABF-4F37-8594-F905212249AD}">
  <ds:schemaRefs>
    <ds:schemaRef ds:uri="http://www.w3.org/XML/1998/namespace"/>
    <ds:schemaRef ds:uri="94fc5000-3977-4bb9-85fe-95b8458bb4bf"/>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8f686a36-9368-4dda-9e9f-a86bde0d326a"/>
  </ds:schemaRefs>
</ds:datastoreItem>
</file>

<file path=customXml/itemProps3.xml><?xml version="1.0" encoding="utf-8"?>
<ds:datastoreItem xmlns:ds="http://schemas.openxmlformats.org/officeDocument/2006/customXml" ds:itemID="{2EA4F048-F331-46D8-88A5-DBFFD822F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fc5000-3977-4bb9-85fe-95b8458bb4bf"/>
    <ds:schemaRef ds:uri="8f686a36-9368-4dda-9e9f-a86bde0d32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1DD3A8-8D41-4FD7-A662-C510F7F38AB7}">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760</vt:i4>
      </vt:variant>
    </vt:vector>
  </HeadingPairs>
  <TitlesOfParts>
    <vt:vector size="772" baseType="lpstr">
      <vt:lpstr>Instructions</vt:lpstr>
      <vt:lpstr>Assessment Details</vt:lpstr>
      <vt:lpstr>Pre-Assessment Estimator</vt:lpstr>
      <vt:lpstr>Credit list</vt:lpstr>
      <vt:lpstr>Manuell filtrering og justering</vt:lpstr>
      <vt:lpstr>Poeng</vt:lpstr>
      <vt:lpstr>Summary of Building Performance</vt:lpstr>
      <vt:lpstr>PAE available for copy</vt:lpstr>
      <vt:lpstr>Version Control</vt:lpstr>
      <vt:lpstr>Sheet1</vt:lpstr>
      <vt:lpstr>Sheet2</vt:lpstr>
      <vt:lpstr>Sheet3</vt:lpstr>
      <vt:lpstr>_PSc1</vt:lpstr>
      <vt:lpstr>Achieved_const</vt:lpstr>
      <vt:lpstr>Achieved_design</vt:lpstr>
      <vt:lpstr>Achieved_initial</vt:lpstr>
      <vt:lpstr>AD_Add01</vt:lpstr>
      <vt:lpstr>AD_Add02</vt:lpstr>
      <vt:lpstr>AD_Add04</vt:lpstr>
      <vt:lpstr>AD_Architect</vt:lpstr>
      <vt:lpstr>AD_assessor</vt:lpstr>
      <vt:lpstr>AD_Assessor_org</vt:lpstr>
      <vt:lpstr>AD_Banner</vt:lpstr>
      <vt:lpstr>AD_BREEAM_stage</vt:lpstr>
      <vt:lpstr>AD_BREEAM_version</vt:lpstr>
      <vt:lpstr>AD_BREEAMAP</vt:lpstr>
      <vt:lpstr>AD_Buildserve</vt:lpstr>
      <vt:lpstr>AD_Builduser</vt:lpstr>
      <vt:lpstr>AD_catlevel01</vt:lpstr>
      <vt:lpstr>AD_catlevel02</vt:lpstr>
      <vt:lpstr>AD_catlevel03</vt:lpstr>
      <vt:lpstr>AD_client</vt:lpstr>
      <vt:lpstr>AD_Contractor</vt:lpstr>
      <vt:lpstr>AD_Developer</vt:lpstr>
      <vt:lpstr>AD_Energyload</vt:lpstr>
      <vt:lpstr>AD_GIA</vt:lpstr>
      <vt:lpstr>AD_heat</vt:lpstr>
      <vt:lpstr>AD_labcat_list</vt:lpstr>
      <vt:lpstr>AD_Labsize</vt:lpstr>
      <vt:lpstr>AD_Labsize_list</vt:lpstr>
      <vt:lpstr>AD_Labsize01</vt:lpstr>
      <vt:lpstr>AD_Labsize02</vt:lpstr>
      <vt:lpstr>AD_Labsize03</vt:lpstr>
      <vt:lpstr>AD_labsize04</vt:lpstr>
      <vt:lpstr>AD_MultiRes_option01a</vt:lpstr>
      <vt:lpstr>AD_MultiRes_option01b</vt:lpstr>
      <vt:lpstr>AD_Multitenant</vt:lpstr>
      <vt:lpstr>AD_NIFA</vt:lpstr>
      <vt:lpstr>AD_no</vt:lpstr>
      <vt:lpstr>AD_option_na</vt:lpstr>
      <vt:lpstr>AD_Other01</vt:lpstr>
      <vt:lpstr>AD_Other02</vt:lpstr>
      <vt:lpstr>AD_other03</vt:lpstr>
      <vt:lpstr>AD_Other04</vt:lpstr>
      <vt:lpstr>AD_Ozoneleg</vt:lpstr>
      <vt:lpstr>AD_p_zone0</vt:lpstr>
      <vt:lpstr>AD_p_zone1</vt:lpstr>
      <vt:lpstr>AD_P_zone2</vt:lpstr>
      <vt:lpstr>AD_P_Zone3</vt:lpstr>
      <vt:lpstr>AD_Projman</vt:lpstr>
      <vt:lpstr>AD_ref</vt:lpstr>
      <vt:lpstr>AD_refrig</vt:lpstr>
      <vt:lpstr>AD_stage_list</vt:lpstr>
      <vt:lpstr>AD_Statement04</vt:lpstr>
      <vt:lpstr>AD_statement05</vt:lpstr>
      <vt:lpstr>AD_statement06</vt:lpstr>
      <vt:lpstr>AD_tra01type</vt:lpstr>
      <vt:lpstr>AD_Trans</vt:lpstr>
      <vt:lpstr>AD_type_list</vt:lpstr>
      <vt:lpstr>AD_version</vt:lpstr>
      <vt:lpstr>AD_Yes</vt:lpstr>
      <vt:lpstr>AD_YesNo</vt:lpstr>
      <vt:lpstr>AD_YesNo_list</vt:lpstr>
      <vt:lpstr>ADAS0</vt:lpstr>
      <vt:lpstr>ADAS01</vt:lpstr>
      <vt:lpstr>ADAS02</vt:lpstr>
      <vt:lpstr>ADBN</vt:lpstr>
      <vt:lpstr>ADBT_sub02</vt:lpstr>
      <vt:lpstr>ADBT_sub03</vt:lpstr>
      <vt:lpstr>ADBT_sub04</vt:lpstr>
      <vt:lpstr>ADBT_sub05</vt:lpstr>
      <vt:lpstr>ADBT_sub06</vt:lpstr>
      <vt:lpstr>ADBT_sub07</vt:lpstr>
      <vt:lpstr>ADBT_sub08</vt:lpstr>
      <vt:lpstr>ADBT_sub09</vt:lpstr>
      <vt:lpstr>ADBT_sub10</vt:lpstr>
      <vt:lpstr>ADBT_sub11</vt:lpstr>
      <vt:lpstr>ADBT_sub12</vt:lpstr>
      <vt:lpstr>ADBT_sub13</vt:lpstr>
      <vt:lpstr>ADBT_sub14</vt:lpstr>
      <vt:lpstr>ADBT_sub15</vt:lpstr>
      <vt:lpstr>ADBT_sub16</vt:lpstr>
      <vt:lpstr>ADBT_sub17</vt:lpstr>
      <vt:lpstr>ADBT0</vt:lpstr>
      <vt:lpstr>ADBT1</vt:lpstr>
      <vt:lpstr>ADBT12</vt:lpstr>
      <vt:lpstr>ADBT13</vt:lpstr>
      <vt:lpstr>ADBT14</vt:lpstr>
      <vt:lpstr>ADBT15</vt:lpstr>
      <vt:lpstr>ADBT16</vt:lpstr>
      <vt:lpstr>ADBT17</vt:lpstr>
      <vt:lpstr>ADBT18</vt:lpstr>
      <vt:lpstr>ADBT19</vt:lpstr>
      <vt:lpstr>ADBT2</vt:lpstr>
      <vt:lpstr>ADBT20</vt:lpstr>
      <vt:lpstr>ADBT3</vt:lpstr>
      <vt:lpstr>ADBT8</vt:lpstr>
      <vt:lpstr>ADBT9</vt:lpstr>
      <vt:lpstr>ADFume_option01</vt:lpstr>
      <vt:lpstr>ADIND_option02</vt:lpstr>
      <vt:lpstr>ADIND_option03</vt:lpstr>
      <vt:lpstr>ADPT</vt:lpstr>
      <vt:lpstr>ADPT01</vt:lpstr>
      <vt:lpstr>ADPT02</vt:lpstr>
      <vt:lpstr>ADPT03</vt:lpstr>
      <vt:lpstr>ADPT04</vt:lpstr>
      <vt:lpstr>ais_ja</vt:lpstr>
      <vt:lpstr>AIS_NA</vt:lpstr>
      <vt:lpstr>ais_nei</vt:lpstr>
      <vt:lpstr>AIS_statement29</vt:lpstr>
      <vt:lpstr>BP_01</vt:lpstr>
      <vt:lpstr>BP_02</vt:lpstr>
      <vt:lpstr>BP_03</vt:lpstr>
      <vt:lpstr>BP_04</vt:lpstr>
      <vt:lpstr>BP_05</vt:lpstr>
      <vt:lpstr>BP_06</vt:lpstr>
      <vt:lpstr>BP_07</vt:lpstr>
      <vt:lpstr>BP_08</vt:lpstr>
      <vt:lpstr>BP_09</vt:lpstr>
      <vt:lpstr>BP_10</vt:lpstr>
      <vt:lpstr>BP_11</vt:lpstr>
      <vt:lpstr>BP_12</vt:lpstr>
      <vt:lpstr>BP_13</vt:lpstr>
      <vt:lpstr>BP_14</vt:lpstr>
      <vt:lpstr>BP_15</vt:lpstr>
      <vt:lpstr>BP_16</vt:lpstr>
      <vt:lpstr>BP_18</vt:lpstr>
      <vt:lpstr>BP_19</vt:lpstr>
      <vt:lpstr>BP_20</vt:lpstr>
      <vt:lpstr>BP_21</vt:lpstr>
      <vt:lpstr>BP_22</vt:lpstr>
      <vt:lpstr>BP_23</vt:lpstr>
      <vt:lpstr>BP_24</vt:lpstr>
      <vt:lpstr>BP_25</vt:lpstr>
      <vt:lpstr>BP_26</vt:lpstr>
      <vt:lpstr>BP_27</vt:lpstr>
      <vt:lpstr>BP_28</vt:lpstr>
      <vt:lpstr>BP_29</vt:lpstr>
      <vt:lpstr>BP_30</vt:lpstr>
      <vt:lpstr>BP_31</vt:lpstr>
      <vt:lpstr>BP_BREEAMRating</vt:lpstr>
      <vt:lpstr>BP_Energy_score</vt:lpstr>
      <vt:lpstr>BP_Innovation_score</vt:lpstr>
      <vt:lpstr>BP_LUE_score</vt:lpstr>
      <vt:lpstr>BP_Man_score</vt:lpstr>
      <vt:lpstr>BP_Materials_score</vt:lpstr>
      <vt:lpstr>BP_MinStandards</vt:lpstr>
      <vt:lpstr>BP_MinStandards_const</vt:lpstr>
      <vt:lpstr>BP_MinStandards_design</vt:lpstr>
      <vt:lpstr>BP_Trans_score</vt:lpstr>
      <vt:lpstr>BP_Waste_Score</vt:lpstr>
      <vt:lpstr>BP_Water_score</vt:lpstr>
      <vt:lpstr>'PAE available for copy'!BRK_Banner</vt:lpstr>
      <vt:lpstr>BRK_Banner</vt:lpstr>
      <vt:lpstr>Ene_01</vt:lpstr>
      <vt:lpstr>Ene_02</vt:lpstr>
      <vt:lpstr>Ene_03</vt:lpstr>
      <vt:lpstr>Ene_04</vt:lpstr>
      <vt:lpstr>Ene_05</vt:lpstr>
      <vt:lpstr>Ene_06</vt:lpstr>
      <vt:lpstr>Ene_07</vt:lpstr>
      <vt:lpstr>Ene_08</vt:lpstr>
      <vt:lpstr>Ene_09</vt:lpstr>
      <vt:lpstr>Ene_23</vt:lpstr>
      <vt:lpstr>Ene_c_user</vt:lpstr>
      <vt:lpstr>Ene_cont_tot</vt:lpstr>
      <vt:lpstr>Ene_Credits</vt:lpstr>
      <vt:lpstr>Ene_d_user</vt:lpstr>
      <vt:lpstr>Ene_tot_user</vt:lpstr>
      <vt:lpstr>Ene_Weight</vt:lpstr>
      <vt:lpstr>Ene01_27</vt:lpstr>
      <vt:lpstr>Ene01_28</vt:lpstr>
      <vt:lpstr>Ene01_41</vt:lpstr>
      <vt:lpstr>Ene01_42</vt:lpstr>
      <vt:lpstr>Ene01_credits</vt:lpstr>
      <vt:lpstr>Ene01_Crit1</vt:lpstr>
      <vt:lpstr>Ene01_Crit1_credits</vt:lpstr>
      <vt:lpstr>Ene01_minstd</vt:lpstr>
      <vt:lpstr>Ene01_tot</vt:lpstr>
      <vt:lpstr>Ene01_user</vt:lpstr>
      <vt:lpstr>Ene02_10</vt:lpstr>
      <vt:lpstr>Ene02_11</vt:lpstr>
      <vt:lpstr>Ene02_12</vt:lpstr>
      <vt:lpstr>Ene02_13</vt:lpstr>
      <vt:lpstr>Ene02_credits</vt:lpstr>
      <vt:lpstr>Ene02_tot</vt:lpstr>
      <vt:lpstr>Ene02_user</vt:lpstr>
      <vt:lpstr>Ene03_05</vt:lpstr>
      <vt:lpstr>Ene03_06</vt:lpstr>
      <vt:lpstr>Ene03_credits</vt:lpstr>
      <vt:lpstr>Ene03_minstd</vt:lpstr>
      <vt:lpstr>Ene03_user</vt:lpstr>
      <vt:lpstr>Ene04_15</vt:lpstr>
      <vt:lpstr>Ene04_16</vt:lpstr>
      <vt:lpstr>Ene04_19</vt:lpstr>
      <vt:lpstr>Ene04_20</vt:lpstr>
      <vt:lpstr>Ene04_credits</vt:lpstr>
      <vt:lpstr>Ene04_tot</vt:lpstr>
      <vt:lpstr>Ene04_user</vt:lpstr>
      <vt:lpstr>Ene05_14</vt:lpstr>
      <vt:lpstr>Ene05_15</vt:lpstr>
      <vt:lpstr>Ene05_20</vt:lpstr>
      <vt:lpstr>Ene05_21</vt:lpstr>
      <vt:lpstr>Ene05_credits</vt:lpstr>
      <vt:lpstr>Ene05_tot</vt:lpstr>
      <vt:lpstr>Ene05_user</vt:lpstr>
      <vt:lpstr>Ene06_11</vt:lpstr>
      <vt:lpstr>Ene06_12</vt:lpstr>
      <vt:lpstr>Ene06_credits</vt:lpstr>
      <vt:lpstr>Ene06_minstd</vt:lpstr>
      <vt:lpstr>Ene06_tot</vt:lpstr>
      <vt:lpstr>Ene06_user</vt:lpstr>
      <vt:lpstr>Ene07_24</vt:lpstr>
      <vt:lpstr>Ene07_25</vt:lpstr>
      <vt:lpstr>Ene07_credits</vt:lpstr>
      <vt:lpstr>Ene07_minstd</vt:lpstr>
      <vt:lpstr>Ene07_tot</vt:lpstr>
      <vt:lpstr>Ene07_user</vt:lpstr>
      <vt:lpstr>Ene08_27</vt:lpstr>
      <vt:lpstr>Ene08_29</vt:lpstr>
      <vt:lpstr>Ene08_credits</vt:lpstr>
      <vt:lpstr>Ene08_minstd</vt:lpstr>
      <vt:lpstr>Ene08_tot</vt:lpstr>
      <vt:lpstr>Ene08_user</vt:lpstr>
      <vt:lpstr>Ene09_07</vt:lpstr>
      <vt:lpstr>Ene09_10</vt:lpstr>
      <vt:lpstr>Ene09_credits</vt:lpstr>
      <vt:lpstr>Ene09_minstd</vt:lpstr>
      <vt:lpstr>Ene09_tot</vt:lpstr>
      <vt:lpstr>Ene09_user</vt:lpstr>
      <vt:lpstr>Ene23_cont</vt:lpstr>
      <vt:lpstr>Ene23_credits</vt:lpstr>
      <vt:lpstr>Ene23_minstd</vt:lpstr>
      <vt:lpstr>Ene23_user</vt:lpstr>
      <vt:lpstr>Hea_01</vt:lpstr>
      <vt:lpstr>Hea_02</vt:lpstr>
      <vt:lpstr>Hea_03</vt:lpstr>
      <vt:lpstr>Hea_04</vt:lpstr>
      <vt:lpstr>Hea_05</vt:lpstr>
      <vt:lpstr>Hea_06</vt:lpstr>
      <vt:lpstr>Hea_07</vt:lpstr>
      <vt:lpstr>Hea_08</vt:lpstr>
      <vt:lpstr>Hea_09</vt:lpstr>
      <vt:lpstr>Hea_cont_tot</vt:lpstr>
      <vt:lpstr>Hea_Credits</vt:lpstr>
      <vt:lpstr>Hea_Weight</vt:lpstr>
      <vt:lpstr>Hea01_26</vt:lpstr>
      <vt:lpstr>Hea01_27</vt:lpstr>
      <vt:lpstr>Hea01_credits</vt:lpstr>
      <vt:lpstr>Hea01_minstd</vt:lpstr>
      <vt:lpstr>Hea01_user</vt:lpstr>
      <vt:lpstr>Hea02_25</vt:lpstr>
      <vt:lpstr>Hea02_26</vt:lpstr>
      <vt:lpstr>Hea02_credits</vt:lpstr>
      <vt:lpstr>Hea02_Crit1</vt:lpstr>
      <vt:lpstr>Hea02_Crit1_cont</vt:lpstr>
      <vt:lpstr>Hea02_Crit1_credits</vt:lpstr>
      <vt:lpstr>Hea02_minst_crit</vt:lpstr>
      <vt:lpstr>Hea02_minstd</vt:lpstr>
      <vt:lpstr>Hea02_tot</vt:lpstr>
      <vt:lpstr>Hea02_user</vt:lpstr>
      <vt:lpstr>Hea03_09</vt:lpstr>
      <vt:lpstr>Hea03_10</vt:lpstr>
      <vt:lpstr>Hea03_11</vt:lpstr>
      <vt:lpstr>Hea03_contr</vt:lpstr>
      <vt:lpstr>Hea03_credits</vt:lpstr>
      <vt:lpstr>Hea03_tot</vt:lpstr>
      <vt:lpstr>Hea03_user</vt:lpstr>
      <vt:lpstr>Hea04_10</vt:lpstr>
      <vt:lpstr>Hea04_11</vt:lpstr>
      <vt:lpstr>Hea04_12</vt:lpstr>
      <vt:lpstr>Hea04_13</vt:lpstr>
      <vt:lpstr>Hea04_credits</vt:lpstr>
      <vt:lpstr>Hea04_tot</vt:lpstr>
      <vt:lpstr>Hea04_user</vt:lpstr>
      <vt:lpstr>Hea05_07</vt:lpstr>
      <vt:lpstr>Hea05_08</vt:lpstr>
      <vt:lpstr>Hea05_credits</vt:lpstr>
      <vt:lpstr>Hea05_minstd</vt:lpstr>
      <vt:lpstr>Hea05_tot</vt:lpstr>
      <vt:lpstr>Hea05_user</vt:lpstr>
      <vt:lpstr>Hea06_07</vt:lpstr>
      <vt:lpstr>Hea06_contr</vt:lpstr>
      <vt:lpstr>Hea06_credits</vt:lpstr>
      <vt:lpstr>Hea06_minstd</vt:lpstr>
      <vt:lpstr>Hea06_tot</vt:lpstr>
      <vt:lpstr>Hea06_user</vt:lpstr>
      <vt:lpstr>Hea07_07</vt:lpstr>
      <vt:lpstr>Hea07_contr</vt:lpstr>
      <vt:lpstr>Hea07_Credits</vt:lpstr>
      <vt:lpstr>Hea07_minstd</vt:lpstr>
      <vt:lpstr>Hea07_Tot</vt:lpstr>
      <vt:lpstr>Hea07_user</vt:lpstr>
      <vt:lpstr>Hea08_07</vt:lpstr>
      <vt:lpstr>Hea08_contr</vt:lpstr>
      <vt:lpstr>Hea08_Credits</vt:lpstr>
      <vt:lpstr>Hea08_minstd</vt:lpstr>
      <vt:lpstr>Hea08_tot</vt:lpstr>
      <vt:lpstr>Hea08_user</vt:lpstr>
      <vt:lpstr>Hea09_cont</vt:lpstr>
      <vt:lpstr>Hea09_Credits</vt:lpstr>
      <vt:lpstr>Hea09_minstd</vt:lpstr>
      <vt:lpstr>Hea09_user</vt:lpstr>
      <vt:lpstr>'PAE available for copy'!HUG</vt:lpstr>
      <vt:lpstr>HUG</vt:lpstr>
      <vt:lpstr>HW_c_user</vt:lpstr>
      <vt:lpstr>HW_d_user</vt:lpstr>
      <vt:lpstr>HW_tot_user</vt:lpstr>
      <vt:lpstr>Inn_01</vt:lpstr>
      <vt:lpstr>Inn_02</vt:lpstr>
      <vt:lpstr>Inn_03</vt:lpstr>
      <vt:lpstr>Inn_04</vt:lpstr>
      <vt:lpstr>Inn_05</vt:lpstr>
      <vt:lpstr>Inn_06</vt:lpstr>
      <vt:lpstr>Inn_07</vt:lpstr>
      <vt:lpstr>Inn_08</vt:lpstr>
      <vt:lpstr>Inn_09</vt:lpstr>
      <vt:lpstr>Inn_10</vt:lpstr>
      <vt:lpstr>Inn_11</vt:lpstr>
      <vt:lpstr>Inn_12</vt:lpstr>
      <vt:lpstr>Inn_13</vt:lpstr>
      <vt:lpstr>Inn_c_user</vt:lpstr>
      <vt:lpstr>Inn_cont_tot</vt:lpstr>
      <vt:lpstr>Inn_Credits</vt:lpstr>
      <vt:lpstr>Inn_d_user</vt:lpstr>
      <vt:lpstr>Inn_tot_user</vt:lpstr>
      <vt:lpstr>Inn_Weight</vt:lpstr>
      <vt:lpstr>Inn01_cont</vt:lpstr>
      <vt:lpstr>Inn01_credits</vt:lpstr>
      <vt:lpstr>Inn01_minstd</vt:lpstr>
      <vt:lpstr>Inn01_user</vt:lpstr>
      <vt:lpstr>Inn02_cont</vt:lpstr>
      <vt:lpstr>Inn02_credits</vt:lpstr>
      <vt:lpstr>Inn02_minstd</vt:lpstr>
      <vt:lpstr>Inn02_user</vt:lpstr>
      <vt:lpstr>Inn03_cont</vt:lpstr>
      <vt:lpstr>Inn03_credits</vt:lpstr>
      <vt:lpstr>Inn03_minstd</vt:lpstr>
      <vt:lpstr>Inn03_user</vt:lpstr>
      <vt:lpstr>Inn04_cont</vt:lpstr>
      <vt:lpstr>Inn04_credits</vt:lpstr>
      <vt:lpstr>Inn04_minstd</vt:lpstr>
      <vt:lpstr>Inn04_user</vt:lpstr>
      <vt:lpstr>Inn05_cont</vt:lpstr>
      <vt:lpstr>Inn05_credits</vt:lpstr>
      <vt:lpstr>Inn05_minstd</vt:lpstr>
      <vt:lpstr>Inn05_user</vt:lpstr>
      <vt:lpstr>Inn06_cont</vt:lpstr>
      <vt:lpstr>Inn06_credits</vt:lpstr>
      <vt:lpstr>Inn06_minstd</vt:lpstr>
      <vt:lpstr>Inn06_user</vt:lpstr>
      <vt:lpstr>Inn07_cont</vt:lpstr>
      <vt:lpstr>Inn07_credits</vt:lpstr>
      <vt:lpstr>Inn07_minstd</vt:lpstr>
      <vt:lpstr>Inn07_user</vt:lpstr>
      <vt:lpstr>Inn08_cont</vt:lpstr>
      <vt:lpstr>Inn08_credits</vt:lpstr>
      <vt:lpstr>Inn08_minstd</vt:lpstr>
      <vt:lpstr>Inn08_user</vt:lpstr>
      <vt:lpstr>Inn09_cont</vt:lpstr>
      <vt:lpstr>Inn09_credits</vt:lpstr>
      <vt:lpstr>Inn09_minstd</vt:lpstr>
      <vt:lpstr>Inn09_user</vt:lpstr>
      <vt:lpstr>Inn10_cont</vt:lpstr>
      <vt:lpstr>Inn10_credits</vt:lpstr>
      <vt:lpstr>Inn10_minstd</vt:lpstr>
      <vt:lpstr>Inn10_user</vt:lpstr>
      <vt:lpstr>Inn11_cont</vt:lpstr>
      <vt:lpstr>Inn11_credits</vt:lpstr>
      <vt:lpstr>Inn11_minstd</vt:lpstr>
      <vt:lpstr>Inn11_user</vt:lpstr>
      <vt:lpstr>Inn12_cont</vt:lpstr>
      <vt:lpstr>Inn12_credits</vt:lpstr>
      <vt:lpstr>Inn12_minstd</vt:lpstr>
      <vt:lpstr>Inn12_user</vt:lpstr>
      <vt:lpstr>Inn13_cont</vt:lpstr>
      <vt:lpstr>Inn13_credits</vt:lpstr>
      <vt:lpstr>Inn13_minstd</vt:lpstr>
      <vt:lpstr>Inn13_user</vt:lpstr>
      <vt:lpstr>janei</vt:lpstr>
      <vt:lpstr>LE_01</vt:lpstr>
      <vt:lpstr>LE_02</vt:lpstr>
      <vt:lpstr>LE_03</vt:lpstr>
      <vt:lpstr>LE_04</vt:lpstr>
      <vt:lpstr>LE_05</vt:lpstr>
      <vt:lpstr>LE_06</vt:lpstr>
      <vt:lpstr>LE_07</vt:lpstr>
      <vt:lpstr>LE_08</vt:lpstr>
      <vt:lpstr>LE_cont_tot</vt:lpstr>
      <vt:lpstr>LE_Credits</vt:lpstr>
      <vt:lpstr>LE_Weight</vt:lpstr>
      <vt:lpstr>LE01_07</vt:lpstr>
      <vt:lpstr>LE01_08</vt:lpstr>
      <vt:lpstr>LE01_credits</vt:lpstr>
      <vt:lpstr>LE01_minstd</vt:lpstr>
      <vt:lpstr>LE01_tot</vt:lpstr>
      <vt:lpstr>LE01_user</vt:lpstr>
      <vt:lpstr>LE02_07</vt:lpstr>
      <vt:lpstr>LE02_08</vt:lpstr>
      <vt:lpstr>LE02_credits</vt:lpstr>
      <vt:lpstr>LE02_minstd</vt:lpstr>
      <vt:lpstr>LE02_tot</vt:lpstr>
      <vt:lpstr>LE02_user</vt:lpstr>
      <vt:lpstr>LE03_07</vt:lpstr>
      <vt:lpstr>LE03_cont</vt:lpstr>
      <vt:lpstr>LE03_credits</vt:lpstr>
      <vt:lpstr>LE03_minstd</vt:lpstr>
      <vt:lpstr>LE03_user</vt:lpstr>
      <vt:lpstr>LE04_13</vt:lpstr>
      <vt:lpstr>LE04_14</vt:lpstr>
      <vt:lpstr>LE04_credits</vt:lpstr>
      <vt:lpstr>LE04_minstd</vt:lpstr>
      <vt:lpstr>LE04_tot</vt:lpstr>
      <vt:lpstr>LE04_user</vt:lpstr>
      <vt:lpstr>LE05_14</vt:lpstr>
      <vt:lpstr>LE05_15</vt:lpstr>
      <vt:lpstr>LE05_credits</vt:lpstr>
      <vt:lpstr>LE05_minstd</vt:lpstr>
      <vt:lpstr>LE05_minstdach</vt:lpstr>
      <vt:lpstr>LE05_tot</vt:lpstr>
      <vt:lpstr>LE05_user</vt:lpstr>
      <vt:lpstr>LE06_07</vt:lpstr>
      <vt:lpstr>LE06_contr</vt:lpstr>
      <vt:lpstr>LE06_credits</vt:lpstr>
      <vt:lpstr>LE06_minstd</vt:lpstr>
      <vt:lpstr>LE06_tot</vt:lpstr>
      <vt:lpstr>LE06_user</vt:lpstr>
      <vt:lpstr>LE07_07</vt:lpstr>
      <vt:lpstr>LE07_cont</vt:lpstr>
      <vt:lpstr>LE07_credits</vt:lpstr>
      <vt:lpstr>LE07_minstd</vt:lpstr>
      <vt:lpstr>LE07_user</vt:lpstr>
      <vt:lpstr>LE08_07</vt:lpstr>
      <vt:lpstr>LE08_cont</vt:lpstr>
      <vt:lpstr>LE08_credits</vt:lpstr>
      <vt:lpstr>LE08_minstd</vt:lpstr>
      <vt:lpstr>LE08_user</vt:lpstr>
      <vt:lpstr>Lue_c_user</vt:lpstr>
      <vt:lpstr>Lue_d_user</vt:lpstr>
      <vt:lpstr>Lue_tot_user</vt:lpstr>
      <vt:lpstr>Man_01</vt:lpstr>
      <vt:lpstr>Man_02</vt:lpstr>
      <vt:lpstr>Man_03</vt:lpstr>
      <vt:lpstr>Man_04</vt:lpstr>
      <vt:lpstr>Man_05</vt:lpstr>
      <vt:lpstr>Man_06</vt:lpstr>
      <vt:lpstr>Man_07</vt:lpstr>
      <vt:lpstr>Man_c_user</vt:lpstr>
      <vt:lpstr>Man_cont_tot</vt:lpstr>
      <vt:lpstr>Man_Credits</vt:lpstr>
      <vt:lpstr>Man_d_user</vt:lpstr>
      <vt:lpstr>Man_tot_user</vt:lpstr>
      <vt:lpstr>Man_Weight</vt:lpstr>
      <vt:lpstr>Man01_37</vt:lpstr>
      <vt:lpstr>Man01_38</vt:lpstr>
      <vt:lpstr>Man01_39</vt:lpstr>
      <vt:lpstr>Man01_credits</vt:lpstr>
      <vt:lpstr>Man01_Crit1</vt:lpstr>
      <vt:lpstr>Man01_Crit1_cont</vt:lpstr>
      <vt:lpstr>Man01_Crit1_credits</vt:lpstr>
      <vt:lpstr>Man01_Exemp</vt:lpstr>
      <vt:lpstr>Man01_minstd</vt:lpstr>
      <vt:lpstr>Man01_Tot</vt:lpstr>
      <vt:lpstr>Man01_user</vt:lpstr>
      <vt:lpstr>Man02_11</vt:lpstr>
      <vt:lpstr>Man02_12</vt:lpstr>
      <vt:lpstr>Man02_credits</vt:lpstr>
      <vt:lpstr>Man02_Exempl</vt:lpstr>
      <vt:lpstr>Man02_minstd</vt:lpstr>
      <vt:lpstr>Man02_Tot</vt:lpstr>
      <vt:lpstr>Man02_user</vt:lpstr>
      <vt:lpstr>Man03_12</vt:lpstr>
      <vt:lpstr>Man03_18</vt:lpstr>
      <vt:lpstr>Man03_credits</vt:lpstr>
      <vt:lpstr>Man03_Crit1</vt:lpstr>
      <vt:lpstr>Man03_Crit1_credits</vt:lpstr>
      <vt:lpstr>Man03_minstd</vt:lpstr>
      <vt:lpstr>Man03_minstd_cri</vt:lpstr>
      <vt:lpstr>Man03_Tot</vt:lpstr>
      <vt:lpstr>Man03_user</vt:lpstr>
      <vt:lpstr>Man04_17</vt:lpstr>
      <vt:lpstr>Man04_cont</vt:lpstr>
      <vt:lpstr>Man04_credits</vt:lpstr>
      <vt:lpstr>Man04_Crit1</vt:lpstr>
      <vt:lpstr>Man04_Crit1_credits</vt:lpstr>
      <vt:lpstr>Man04_minstd</vt:lpstr>
      <vt:lpstr>Man04_minstd_cri</vt:lpstr>
      <vt:lpstr>Man04_tot</vt:lpstr>
      <vt:lpstr>Man04_user</vt:lpstr>
      <vt:lpstr>Man05_10</vt:lpstr>
      <vt:lpstr>Man05_cont</vt:lpstr>
      <vt:lpstr>Man05_credits</vt:lpstr>
      <vt:lpstr>Man05_Crit1</vt:lpstr>
      <vt:lpstr>Man05_Crit1_credits</vt:lpstr>
      <vt:lpstr>Man05_minstd</vt:lpstr>
      <vt:lpstr>Man05_minstd_cri</vt:lpstr>
      <vt:lpstr>Man05_tot</vt:lpstr>
      <vt:lpstr>Man05_user</vt:lpstr>
      <vt:lpstr>Man06_cont</vt:lpstr>
      <vt:lpstr>Man06_credits</vt:lpstr>
      <vt:lpstr>Man06_minstd</vt:lpstr>
      <vt:lpstr>Man06_user</vt:lpstr>
      <vt:lpstr>Man07_cont</vt:lpstr>
      <vt:lpstr>Man07_credits</vt:lpstr>
      <vt:lpstr>Man07_minstd</vt:lpstr>
      <vt:lpstr>Man07_user</vt:lpstr>
      <vt:lpstr>Mat_01</vt:lpstr>
      <vt:lpstr>Mat_02</vt:lpstr>
      <vt:lpstr>Mat_03</vt:lpstr>
      <vt:lpstr>Mat_05</vt:lpstr>
      <vt:lpstr>Mat_06</vt:lpstr>
      <vt:lpstr>Mat_07</vt:lpstr>
      <vt:lpstr>Mat_c_user</vt:lpstr>
      <vt:lpstr>Mat_cont_tot</vt:lpstr>
      <vt:lpstr>Mat_Credits</vt:lpstr>
      <vt:lpstr>Mat_d_user</vt:lpstr>
      <vt:lpstr>Mat_tot_user</vt:lpstr>
      <vt:lpstr>Mat_Weight</vt:lpstr>
      <vt:lpstr>Mat01_08</vt:lpstr>
      <vt:lpstr>Mat01_27</vt:lpstr>
      <vt:lpstr>Mat01_28</vt:lpstr>
      <vt:lpstr>Mat01_credits</vt:lpstr>
      <vt:lpstr>Mat01_Crit1</vt:lpstr>
      <vt:lpstr>Mat01_Crit1_credits</vt:lpstr>
      <vt:lpstr>Mat01_minstd</vt:lpstr>
      <vt:lpstr>Mat01_minstd2</vt:lpstr>
      <vt:lpstr>Mat01_tot</vt:lpstr>
      <vt:lpstr>Mat01_user</vt:lpstr>
      <vt:lpstr>Mat02_37</vt:lpstr>
      <vt:lpstr>Mat02_cont</vt:lpstr>
      <vt:lpstr>Mat02_credits</vt:lpstr>
      <vt:lpstr>Mat02_Crit1</vt:lpstr>
      <vt:lpstr>Mat02_Crit1_cont</vt:lpstr>
      <vt:lpstr>Mat02_Crit1_credits</vt:lpstr>
      <vt:lpstr>Mat02_minstd</vt:lpstr>
      <vt:lpstr>Mat02_minstd2</vt:lpstr>
      <vt:lpstr>Mat02_user</vt:lpstr>
      <vt:lpstr>Mat03_35</vt:lpstr>
      <vt:lpstr>Mat03_36</vt:lpstr>
      <vt:lpstr>Mat03_37</vt:lpstr>
      <vt:lpstr>Mat03_38</vt:lpstr>
      <vt:lpstr>Mat03_credits</vt:lpstr>
      <vt:lpstr>Mat03_Crit1</vt:lpstr>
      <vt:lpstr>Mat03_Crit1_cont</vt:lpstr>
      <vt:lpstr>Mat03_Crit1_credits</vt:lpstr>
      <vt:lpstr>Mat03_minstd</vt:lpstr>
      <vt:lpstr>Mat03_tot</vt:lpstr>
      <vt:lpstr>Mat03_user</vt:lpstr>
      <vt:lpstr>Mat05_05</vt:lpstr>
      <vt:lpstr>Mat05_06</vt:lpstr>
      <vt:lpstr>Mat05_credits</vt:lpstr>
      <vt:lpstr>Mat05_minstd</vt:lpstr>
      <vt:lpstr>Mat05_tot</vt:lpstr>
      <vt:lpstr>Mat05_user</vt:lpstr>
      <vt:lpstr>Mat06_05</vt:lpstr>
      <vt:lpstr>Mat06_cont</vt:lpstr>
      <vt:lpstr>Mat06_credits</vt:lpstr>
      <vt:lpstr>Mat06_Crit1</vt:lpstr>
      <vt:lpstr>Mat06_Crit1_credits</vt:lpstr>
      <vt:lpstr>Mat06_minstd</vt:lpstr>
      <vt:lpstr>Mat06_minstd_cred</vt:lpstr>
      <vt:lpstr>Mat06_user</vt:lpstr>
      <vt:lpstr>Mat07_05</vt:lpstr>
      <vt:lpstr>Mat07_cont</vt:lpstr>
      <vt:lpstr>Mat07_credits</vt:lpstr>
      <vt:lpstr>Mat07_Crit1</vt:lpstr>
      <vt:lpstr>Mat07_Crit1_credits</vt:lpstr>
      <vt:lpstr>Mat07_minstd</vt:lpstr>
      <vt:lpstr>Mat07_minstd_cred</vt:lpstr>
      <vt:lpstr>Mat07_user</vt:lpstr>
      <vt:lpstr>Note_minstand</vt:lpstr>
      <vt:lpstr>Note_minstand_const</vt:lpstr>
      <vt:lpstr>Note_minstand_design</vt:lpstr>
      <vt:lpstr>Poeng_bort</vt:lpstr>
      <vt:lpstr>Poeng_tilgj</vt:lpstr>
      <vt:lpstr>Poeng_tot</vt:lpstr>
      <vt:lpstr>Pol_01</vt:lpstr>
      <vt:lpstr>Pol_02</vt:lpstr>
      <vt:lpstr>Pol_03</vt:lpstr>
      <vt:lpstr>Pol_04</vt:lpstr>
      <vt:lpstr>Pol_05</vt:lpstr>
      <vt:lpstr>Pol_c_user</vt:lpstr>
      <vt:lpstr>Pol_cont_tot</vt:lpstr>
      <vt:lpstr>Pol_Credits</vt:lpstr>
      <vt:lpstr>Pol_d_user</vt:lpstr>
      <vt:lpstr>Pol_tot_user</vt:lpstr>
      <vt:lpstr>Pol_Weight</vt:lpstr>
      <vt:lpstr>Pol01_19</vt:lpstr>
      <vt:lpstr>Pol01_20</vt:lpstr>
      <vt:lpstr>Pol01_credits</vt:lpstr>
      <vt:lpstr>Pol01_minstd</vt:lpstr>
      <vt:lpstr>Pol01_tot</vt:lpstr>
      <vt:lpstr>Pol01_user</vt:lpstr>
      <vt:lpstr>Pol02_26</vt:lpstr>
      <vt:lpstr>Pol02_27</vt:lpstr>
      <vt:lpstr>Pol02_credits</vt:lpstr>
      <vt:lpstr>Pol02_minstd</vt:lpstr>
      <vt:lpstr>Pol02_tot</vt:lpstr>
      <vt:lpstr>Pol02_user</vt:lpstr>
      <vt:lpstr>Pol03_14</vt:lpstr>
      <vt:lpstr>Pol03_15</vt:lpstr>
      <vt:lpstr>Pol03_credits</vt:lpstr>
      <vt:lpstr>Pol03_minstd</vt:lpstr>
      <vt:lpstr>Pol03_tot</vt:lpstr>
      <vt:lpstr>Pol03_user</vt:lpstr>
      <vt:lpstr>Pol04_05</vt:lpstr>
      <vt:lpstr>Pol04_06</vt:lpstr>
      <vt:lpstr>Pol04_credits</vt:lpstr>
      <vt:lpstr>Pol04_minstd</vt:lpstr>
      <vt:lpstr>Pol04_tot</vt:lpstr>
      <vt:lpstr>Pol04_user</vt:lpstr>
      <vt:lpstr>Pol05_10</vt:lpstr>
      <vt:lpstr>Pol05_11</vt:lpstr>
      <vt:lpstr>Pol05_credits</vt:lpstr>
      <vt:lpstr>Pol05_minstd</vt:lpstr>
      <vt:lpstr>Pol05_tot</vt:lpstr>
      <vt:lpstr>Pol05_user</vt:lpstr>
      <vt:lpstr>'Assessment Details'!Print_Area</vt:lpstr>
      <vt:lpstr>Instructions!Print_Area</vt:lpstr>
      <vt:lpstr>'PAE available for copy'!Print_Area</vt:lpstr>
      <vt:lpstr>'Pre-Assessment Estimator'!Print_Area</vt:lpstr>
      <vt:lpstr>'Summary of Building Performance'!Print_Area</vt:lpstr>
      <vt:lpstr>'Version Control'!Print_Area</vt:lpstr>
      <vt:lpstr>'PAE available for copy'!Print_Titles</vt:lpstr>
      <vt:lpstr>'Pre-Assessment Estimator'!Print_Titles</vt:lpstr>
      <vt:lpstr>projecttype</vt:lpstr>
      <vt:lpstr>Score_const</vt:lpstr>
      <vt:lpstr>Score_design</vt:lpstr>
      <vt:lpstr>Score_Initial</vt:lpstr>
      <vt:lpstr>status</vt:lpstr>
      <vt:lpstr>Tra_01</vt:lpstr>
      <vt:lpstr>Tra_02</vt:lpstr>
      <vt:lpstr>Tra_03</vt:lpstr>
      <vt:lpstr>Tra_04</vt:lpstr>
      <vt:lpstr>Tra_05</vt:lpstr>
      <vt:lpstr>Tra_06</vt:lpstr>
      <vt:lpstr>Tra_c_user</vt:lpstr>
      <vt:lpstr>Tra_cont_tot</vt:lpstr>
      <vt:lpstr>Tra_Credits</vt:lpstr>
      <vt:lpstr>Tra_d_user</vt:lpstr>
      <vt:lpstr>Tra_tot_user</vt:lpstr>
      <vt:lpstr>Tra_Weight</vt:lpstr>
      <vt:lpstr>Tra01_07</vt:lpstr>
      <vt:lpstr>TRa01_08</vt:lpstr>
      <vt:lpstr>TRA01_BuildType</vt:lpstr>
      <vt:lpstr>Tra01_credits</vt:lpstr>
      <vt:lpstr>Tra01_Crit1</vt:lpstr>
      <vt:lpstr>Tra01_Crit1_credits</vt:lpstr>
      <vt:lpstr>Tra01_minstd</vt:lpstr>
      <vt:lpstr>Tra01_tot</vt:lpstr>
      <vt:lpstr>Tra01_type7</vt:lpstr>
      <vt:lpstr>Tra01_user</vt:lpstr>
      <vt:lpstr>Tra02_06</vt:lpstr>
      <vt:lpstr>Tra02_07</vt:lpstr>
      <vt:lpstr>Tra02_credits</vt:lpstr>
      <vt:lpstr>Tra02_minstd</vt:lpstr>
      <vt:lpstr>Tra02_tot</vt:lpstr>
      <vt:lpstr>Tra02_user</vt:lpstr>
      <vt:lpstr>Tra03_02</vt:lpstr>
      <vt:lpstr>Tra03_13</vt:lpstr>
      <vt:lpstr>Tra03_14</vt:lpstr>
      <vt:lpstr>Tra03_credits</vt:lpstr>
      <vt:lpstr>Tra03_minstd</vt:lpstr>
      <vt:lpstr>Tra03_tot</vt:lpstr>
      <vt:lpstr>Tra03_user</vt:lpstr>
      <vt:lpstr>Tra04_09</vt:lpstr>
      <vt:lpstr>Tra04_10</vt:lpstr>
      <vt:lpstr>Tra04_credits</vt:lpstr>
      <vt:lpstr>Tra04_minstd</vt:lpstr>
      <vt:lpstr>Tra04_tot</vt:lpstr>
      <vt:lpstr>Tra04_user</vt:lpstr>
      <vt:lpstr>Tra05_04</vt:lpstr>
      <vt:lpstr>Tra05_05</vt:lpstr>
      <vt:lpstr>Tra05_credits</vt:lpstr>
      <vt:lpstr>Tra05_minstd</vt:lpstr>
      <vt:lpstr>Tra05_tot</vt:lpstr>
      <vt:lpstr>Tra05_user</vt:lpstr>
      <vt:lpstr>Tra06_04</vt:lpstr>
      <vt:lpstr>Tra06_05</vt:lpstr>
      <vt:lpstr>Tra06_credits</vt:lpstr>
      <vt:lpstr>Tra06_minstd</vt:lpstr>
      <vt:lpstr>Tra06_user</vt:lpstr>
      <vt:lpstr>TVC_current_date</vt:lpstr>
      <vt:lpstr>TVC_current_version</vt:lpstr>
      <vt:lpstr>Wat__Credits</vt:lpstr>
      <vt:lpstr>Wat_01</vt:lpstr>
      <vt:lpstr>Wat_02</vt:lpstr>
      <vt:lpstr>Wat_03</vt:lpstr>
      <vt:lpstr>Wat_04</vt:lpstr>
      <vt:lpstr>Wat_c_user</vt:lpstr>
      <vt:lpstr>Wat_cont_tot</vt:lpstr>
      <vt:lpstr>Wat_Credits</vt:lpstr>
      <vt:lpstr>Wat_d_user</vt:lpstr>
      <vt:lpstr>Wat_tot_user</vt:lpstr>
      <vt:lpstr>Wat_Weight</vt:lpstr>
      <vt:lpstr>Wat01_08</vt:lpstr>
      <vt:lpstr>Wat01_09</vt:lpstr>
      <vt:lpstr>Wat01_14</vt:lpstr>
      <vt:lpstr>Wat01_15</vt:lpstr>
      <vt:lpstr>Wat01_credits</vt:lpstr>
      <vt:lpstr>Wat01_minstd</vt:lpstr>
      <vt:lpstr>Wat01_tot</vt:lpstr>
      <vt:lpstr>Wat01_user</vt:lpstr>
      <vt:lpstr>Wat02_10</vt:lpstr>
      <vt:lpstr>Wat02_11</vt:lpstr>
      <vt:lpstr>Wat02_12</vt:lpstr>
      <vt:lpstr>Wat02_13</vt:lpstr>
      <vt:lpstr>Wat02_credits</vt:lpstr>
      <vt:lpstr>Wat02_tot</vt:lpstr>
      <vt:lpstr>Wat02_user</vt:lpstr>
      <vt:lpstr>Wat03_09</vt:lpstr>
      <vt:lpstr>Wat03_10</vt:lpstr>
      <vt:lpstr>Wat03_credits</vt:lpstr>
      <vt:lpstr>Wat03_minstd</vt:lpstr>
      <vt:lpstr>Wat03_tot</vt:lpstr>
      <vt:lpstr>Wat03_user</vt:lpstr>
      <vt:lpstr>Wat04_05</vt:lpstr>
      <vt:lpstr>Wat04_06</vt:lpstr>
      <vt:lpstr>Wat04_credits</vt:lpstr>
      <vt:lpstr>Wat04_minstd</vt:lpstr>
      <vt:lpstr>Wat04_tot</vt:lpstr>
      <vt:lpstr>Wat04_user</vt:lpstr>
      <vt:lpstr>Wst_01</vt:lpstr>
      <vt:lpstr>Wst_02</vt:lpstr>
      <vt:lpstr>Wst_03</vt:lpstr>
      <vt:lpstr>Wst_04</vt:lpstr>
      <vt:lpstr>Wst_c_user</vt:lpstr>
      <vt:lpstr>Wst_cont_tot</vt:lpstr>
      <vt:lpstr>Wst_Credits</vt:lpstr>
      <vt:lpstr>Wst_d_user</vt:lpstr>
      <vt:lpstr>Wst_tot_user</vt:lpstr>
      <vt:lpstr>Wst_Weight</vt:lpstr>
      <vt:lpstr>Wst01_17</vt:lpstr>
      <vt:lpstr>Wst01_18</vt:lpstr>
      <vt:lpstr>Wst01_27</vt:lpstr>
      <vt:lpstr>Wst01_28</vt:lpstr>
      <vt:lpstr>Wst01_credits</vt:lpstr>
      <vt:lpstr>Wst01_Crit1</vt:lpstr>
      <vt:lpstr>Wst01_Crit1_credits</vt:lpstr>
      <vt:lpstr>Wst01_minstd</vt:lpstr>
      <vt:lpstr>Wst01_tot</vt:lpstr>
      <vt:lpstr>Wst01_user</vt:lpstr>
      <vt:lpstr>Wst02_11</vt:lpstr>
      <vt:lpstr>Wst02_14</vt:lpstr>
      <vt:lpstr>Wst02_15</vt:lpstr>
      <vt:lpstr>Wst02_credits</vt:lpstr>
      <vt:lpstr>Wst02_minstd</vt:lpstr>
      <vt:lpstr>Wst02_tot</vt:lpstr>
      <vt:lpstr>Wst02_user</vt:lpstr>
      <vt:lpstr>Wst03_09</vt:lpstr>
      <vt:lpstr>Wst03_10</vt:lpstr>
      <vt:lpstr>Wst03_12</vt:lpstr>
      <vt:lpstr>Wst03_13</vt:lpstr>
      <vt:lpstr>Wst03_credits</vt:lpstr>
      <vt:lpstr>Wst03_tot</vt:lpstr>
      <vt:lpstr>Wst03_user</vt:lpstr>
      <vt:lpstr>Wst04_08</vt:lpstr>
      <vt:lpstr>Wst04_09</vt:lpstr>
      <vt:lpstr>Wst04_credits</vt:lpstr>
      <vt:lpstr>Wst04_minstd</vt:lpstr>
      <vt:lpstr>Wst04_tot</vt:lpstr>
      <vt:lpstr>Wst04_user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 Global Ltd</dc:creator>
  <cp:lastModifiedBy>Oddbjørn Dahlstrøm Andvik</cp:lastModifiedBy>
  <cp:lastPrinted>2022-06-24T10:54:47Z</cp:lastPrinted>
  <dcterms:created xsi:type="dcterms:W3CDTF">2011-03-28T14:05:06Z</dcterms:created>
  <dcterms:modified xsi:type="dcterms:W3CDTF">2022-06-24T12:27:20Z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e9831397-fa9b-4b10-9c45-fbf4896dd85a</vt:lpwstr>
  </property>
  <property fmtid="{D5CDD505-2E9C-101B-9397-08002B2CF9AE}" pid="3" name="ContentTypeId">
    <vt:lpwstr>0x010100473ED8D844509B40B8ED2A4F57557FDF</vt:lpwstr>
  </property>
</Properties>
</file>